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87B7F9D-FDC1-4A53-9E37-9E1379ECE0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-APBD01" sheetId="1" r:id="rId1"/>
  </sheets>
  <definedNames>
    <definedName name="_xlnm.Print_Area" localSheetId="0">'Form-APBD01'!$A$1:$P$106</definedName>
    <definedName name="_xlnm.Print_Titles" localSheetId="0">'Form-APBD01'!$1:$9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H10" i="1" l="1"/>
  <c r="H15" i="1"/>
  <c r="H11" i="1"/>
  <c r="G10" i="1"/>
  <c r="G15" i="1"/>
  <c r="G11" i="1"/>
  <c r="F10" i="1"/>
  <c r="F15" i="1"/>
  <c r="F11" i="1"/>
  <c r="E10" i="1"/>
  <c r="E15" i="1"/>
  <c r="E11" i="1"/>
  <c r="H42" i="1"/>
  <c r="G42" i="1"/>
  <c r="H41" i="1"/>
  <c r="G41" i="1"/>
  <c r="F41" i="1"/>
  <c r="H43" i="1"/>
  <c r="H47" i="1"/>
  <c r="G47" i="1"/>
  <c r="H36" i="1"/>
  <c r="G36" i="1"/>
  <c r="F36" i="1"/>
  <c r="E36" i="1"/>
  <c r="H34" i="1"/>
  <c r="G34" i="1"/>
  <c r="F34" i="1"/>
  <c r="H25" i="1"/>
  <c r="G25" i="1"/>
  <c r="M85" i="1" l="1"/>
  <c r="M92" i="1"/>
  <c r="J73" i="1"/>
  <c r="J55" i="1"/>
  <c r="J54" i="1"/>
  <c r="I54" i="1"/>
  <c r="J52" i="1"/>
  <c r="J41" i="1"/>
  <c r="J39" i="1"/>
  <c r="J37" i="1"/>
  <c r="J30" i="1"/>
  <c r="J28" i="1"/>
  <c r="J26" i="1"/>
  <c r="H12" i="1" l="1"/>
  <c r="Q12" i="1"/>
  <c r="Q11" i="1"/>
  <c r="J69" i="1"/>
  <c r="I69" i="1"/>
  <c r="O93" i="1"/>
  <c r="N93" i="1"/>
  <c r="L93" i="1"/>
  <c r="K93" i="1"/>
  <c r="S93" i="1"/>
  <c r="R93" i="1"/>
  <c r="H93" i="1"/>
  <c r="G93" i="1"/>
  <c r="F93" i="1"/>
  <c r="E93" i="1"/>
  <c r="H92" i="1"/>
  <c r="G92" i="1"/>
  <c r="F92" i="1"/>
  <c r="C69" i="1"/>
  <c r="D93" i="1" s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4" i="1" l="1"/>
  <c r="G64" i="1"/>
  <c r="F64" i="1"/>
  <c r="E64" i="1"/>
  <c r="H65" i="1"/>
  <c r="G65" i="1"/>
  <c r="F65" i="1"/>
  <c r="E65" i="1"/>
  <c r="H66" i="1"/>
  <c r="G66" i="1"/>
  <c r="F66" i="1"/>
  <c r="E66" i="1"/>
  <c r="H67" i="1"/>
  <c r="G67" i="1"/>
  <c r="F67" i="1"/>
  <c r="E67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G43" i="1"/>
  <c r="F43" i="1"/>
  <c r="E43" i="1"/>
  <c r="F42" i="1"/>
  <c r="E42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5" i="1"/>
  <c r="G35" i="1"/>
  <c r="F35" i="1"/>
  <c r="E35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8" i="1"/>
  <c r="G28" i="1"/>
  <c r="F28" i="1"/>
  <c r="E28" i="1"/>
  <c r="H27" i="1"/>
  <c r="G27" i="1"/>
  <c r="F27" i="1"/>
  <c r="E27" i="1"/>
  <c r="H26" i="1"/>
  <c r="G26" i="1"/>
  <c r="F26" i="1"/>
  <c r="E26" i="1"/>
  <c r="F25" i="1"/>
  <c r="E25" i="1"/>
  <c r="H22" i="1"/>
  <c r="H21" i="1"/>
  <c r="G22" i="1"/>
  <c r="G21" i="1"/>
  <c r="F22" i="1"/>
  <c r="F21" i="1"/>
  <c r="E21" i="1"/>
  <c r="E22" i="1"/>
  <c r="H17" i="1"/>
  <c r="G17" i="1"/>
  <c r="H18" i="1"/>
  <c r="G18" i="1"/>
  <c r="F18" i="1"/>
  <c r="F17" i="1"/>
  <c r="E18" i="1"/>
  <c r="Z62" i="1" l="1"/>
  <c r="AC62" i="1" s="1"/>
  <c r="Z63" i="1"/>
  <c r="AC63" i="1" s="1"/>
  <c r="Z64" i="1"/>
  <c r="Z61" i="1"/>
  <c r="Y65" i="1"/>
  <c r="Z65" i="1" s="1"/>
  <c r="AA62" i="1" l="1"/>
  <c r="AB62" i="1" s="1"/>
  <c r="AC65" i="1"/>
  <c r="AA65" i="1"/>
  <c r="AB65" i="1" s="1"/>
  <c r="AB63" i="1"/>
  <c r="AC61" i="1"/>
  <c r="Z66" i="1"/>
  <c r="AA61" i="1"/>
  <c r="AB61" i="1" s="1"/>
  <c r="AA63" i="1"/>
  <c r="J24" i="1"/>
  <c r="J49" i="1"/>
  <c r="J58" i="1"/>
  <c r="F69" i="1" l="1"/>
  <c r="E69" i="1"/>
  <c r="H69" i="1"/>
  <c r="G69" i="1"/>
  <c r="D92" i="1"/>
  <c r="D88" i="1"/>
  <c r="D84" i="1"/>
  <c r="D80" i="1"/>
  <c r="D76" i="1"/>
  <c r="D72" i="1"/>
  <c r="D77" i="1"/>
  <c r="D91" i="1"/>
  <c r="D87" i="1"/>
  <c r="D83" i="1"/>
  <c r="D79" i="1"/>
  <c r="D75" i="1"/>
  <c r="D71" i="1"/>
  <c r="D89" i="1"/>
  <c r="D81" i="1"/>
  <c r="D90" i="1"/>
  <c r="D86" i="1"/>
  <c r="D82" i="1"/>
  <c r="D78" i="1"/>
  <c r="D74" i="1"/>
  <c r="D70" i="1"/>
  <c r="D85" i="1"/>
  <c r="D73" i="1"/>
  <c r="AC66" i="1"/>
  <c r="AA66" i="1"/>
  <c r="AB66" i="1"/>
  <c r="C58" i="1"/>
  <c r="C49" i="1"/>
  <c r="C24" i="1"/>
  <c r="C20" i="1"/>
  <c r="K92" i="1"/>
  <c r="L92" i="1" s="1"/>
  <c r="K91" i="1"/>
  <c r="L91" i="1" s="1"/>
  <c r="K88" i="1"/>
  <c r="L88" i="1" s="1"/>
  <c r="K89" i="1"/>
  <c r="L89" i="1" s="1"/>
  <c r="K90" i="1"/>
  <c r="L90" i="1" s="1"/>
  <c r="K67" i="1"/>
  <c r="L67" i="1" s="1"/>
  <c r="K66" i="1"/>
  <c r="L66" i="1" s="1"/>
  <c r="H24" i="1" l="1"/>
  <c r="F24" i="1"/>
  <c r="E24" i="1"/>
  <c r="G24" i="1"/>
  <c r="F49" i="1"/>
  <c r="D54" i="1"/>
  <c r="D50" i="1"/>
  <c r="E49" i="1"/>
  <c r="D53" i="1"/>
  <c r="H49" i="1"/>
  <c r="D56" i="1"/>
  <c r="D52" i="1"/>
  <c r="G49" i="1"/>
  <c r="D55" i="1"/>
  <c r="D51" i="1"/>
  <c r="H58" i="1"/>
  <c r="D64" i="1"/>
  <c r="D60" i="1"/>
  <c r="G58" i="1"/>
  <c r="D67" i="1"/>
  <c r="D63" i="1"/>
  <c r="D59" i="1"/>
  <c r="F58" i="1"/>
  <c r="D66" i="1"/>
  <c r="D62" i="1"/>
  <c r="E58" i="1"/>
  <c r="D65" i="1"/>
  <c r="D61" i="1"/>
  <c r="H20" i="1"/>
  <c r="D22" i="1"/>
  <c r="G20" i="1"/>
  <c r="D21" i="1"/>
  <c r="F20" i="1"/>
  <c r="E20" i="1"/>
  <c r="D44" i="1"/>
  <c r="D40" i="1"/>
  <c r="D36" i="1"/>
  <c r="D32" i="1"/>
  <c r="D28" i="1"/>
  <c r="D47" i="1"/>
  <c r="D43" i="1"/>
  <c r="D39" i="1"/>
  <c r="D35" i="1"/>
  <c r="D31" i="1"/>
  <c r="D27" i="1"/>
  <c r="D46" i="1"/>
  <c r="D42" i="1"/>
  <c r="D38" i="1"/>
  <c r="D34" i="1"/>
  <c r="D30" i="1"/>
  <c r="D26" i="1"/>
  <c r="R36" i="1"/>
  <c r="D45" i="1"/>
  <c r="D41" i="1"/>
  <c r="D37" i="1"/>
  <c r="D33" i="1"/>
  <c r="D29" i="1"/>
  <c r="D25" i="1"/>
  <c r="I58" i="1"/>
  <c r="I49" i="1" l="1"/>
  <c r="I24" i="1" l="1"/>
  <c r="H29" i="1" l="1"/>
  <c r="G29" i="1"/>
  <c r="F29" i="1"/>
  <c r="E29" i="1"/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8" i="1"/>
  <c r="L38" i="1" s="1"/>
  <c r="K37" i="1"/>
  <c r="L37" i="1" s="1"/>
  <c r="K36" i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41" i="1" l="1"/>
  <c r="L25" i="1"/>
  <c r="K24" i="1"/>
  <c r="I20" i="1" l="1"/>
  <c r="J20" i="1"/>
  <c r="E17" i="1" l="1"/>
  <c r="H56" i="1" l="1"/>
  <c r="G56" i="1"/>
  <c r="J16" i="1" l="1"/>
  <c r="J15" i="1" s="1"/>
  <c r="I16" i="1"/>
  <c r="I15" i="1" s="1"/>
  <c r="G12" i="1"/>
  <c r="F12" i="1"/>
  <c r="E12" i="1"/>
  <c r="K16" i="1" l="1"/>
  <c r="J14" i="1"/>
  <c r="I14" i="1" l="1"/>
  <c r="K87" i="1" l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K76" i="1"/>
  <c r="L76" i="1" s="1"/>
  <c r="K75" i="1"/>
  <c r="L75" i="1" s="1"/>
  <c r="K74" i="1"/>
  <c r="L74" i="1" s="1"/>
  <c r="K73" i="1"/>
  <c r="L73" i="1" s="1"/>
  <c r="K72" i="1"/>
  <c r="K71" i="1"/>
  <c r="K70" i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K56" i="1"/>
  <c r="L56" i="1" s="1"/>
  <c r="K55" i="1"/>
  <c r="L55" i="1" s="1"/>
  <c r="K54" i="1"/>
  <c r="L54" i="1" s="1"/>
  <c r="N54" i="1" s="1"/>
  <c r="K53" i="1"/>
  <c r="L53" i="1" s="1"/>
  <c r="K52" i="1"/>
  <c r="K51" i="1"/>
  <c r="L51" i="1" s="1"/>
  <c r="K50" i="1"/>
  <c r="K22" i="1"/>
  <c r="L22" i="1" s="1"/>
  <c r="K21" i="1"/>
  <c r="L71" i="1" l="1"/>
  <c r="K69" i="1"/>
  <c r="L69" i="1" s="1"/>
  <c r="L72" i="1"/>
  <c r="K58" i="1"/>
  <c r="L58" i="1" s="1"/>
  <c r="K49" i="1"/>
  <c r="R91" i="1"/>
  <c r="S91" i="1" s="1"/>
  <c r="R92" i="1"/>
  <c r="S92" i="1" s="1"/>
  <c r="R88" i="1"/>
  <c r="S88" i="1" s="1"/>
  <c r="R89" i="1"/>
  <c r="S89" i="1" s="1"/>
  <c r="R90" i="1"/>
  <c r="S90" i="1" s="1"/>
  <c r="R66" i="1"/>
  <c r="S66" i="1" s="1"/>
  <c r="R67" i="1"/>
  <c r="S67" i="1" s="1"/>
  <c r="R71" i="1"/>
  <c r="S71" i="1" s="1"/>
  <c r="R73" i="1"/>
  <c r="S73" i="1" s="1"/>
  <c r="R75" i="1"/>
  <c r="S75" i="1" s="1"/>
  <c r="R70" i="1"/>
  <c r="S70" i="1" s="1"/>
  <c r="R72" i="1"/>
  <c r="S72" i="1" s="1"/>
  <c r="R74" i="1"/>
  <c r="S74" i="1" s="1"/>
  <c r="R62" i="1"/>
  <c r="S62" i="1" s="1"/>
  <c r="R65" i="1"/>
  <c r="S65" i="1" s="1"/>
  <c r="R59" i="1"/>
  <c r="S59" i="1" s="1"/>
  <c r="R63" i="1"/>
  <c r="S63" i="1" s="1"/>
  <c r="R61" i="1"/>
  <c r="S61" i="1" s="1"/>
  <c r="R60" i="1"/>
  <c r="S60" i="1" s="1"/>
  <c r="R64" i="1"/>
  <c r="S64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40" i="1"/>
  <c r="S40" i="1" s="1"/>
  <c r="R28" i="1"/>
  <c r="S28" i="1" s="1"/>
  <c r="R42" i="1"/>
  <c r="S42" i="1" s="1"/>
  <c r="R30" i="1"/>
  <c r="S30" i="1" s="1"/>
  <c r="R44" i="1"/>
  <c r="S44" i="1" s="1"/>
  <c r="R32" i="1"/>
  <c r="S32" i="1" s="1"/>
  <c r="R38" i="1"/>
  <c r="S38" i="1" s="1"/>
  <c r="R26" i="1"/>
  <c r="S26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46" i="1"/>
  <c r="S46" i="1" s="1"/>
  <c r="R34" i="1"/>
  <c r="S34" i="1" s="1"/>
  <c r="L50" i="1"/>
  <c r="L59" i="1"/>
  <c r="R21" i="1"/>
  <c r="S21" i="1" s="1"/>
  <c r="L70" i="1"/>
  <c r="R22" i="1"/>
  <c r="S22" i="1" s="1"/>
  <c r="L24" i="1"/>
  <c r="L77" i="1"/>
  <c r="L52" i="1"/>
  <c r="L21" i="1"/>
  <c r="K20" i="1"/>
  <c r="R86" i="1"/>
  <c r="S86" i="1" s="1"/>
  <c r="R82" i="1"/>
  <c r="S82" i="1" s="1"/>
  <c r="R78" i="1"/>
  <c r="S78" i="1" s="1"/>
  <c r="R83" i="1"/>
  <c r="S83" i="1" s="1"/>
  <c r="R85" i="1"/>
  <c r="S85" i="1" s="1"/>
  <c r="R81" i="1"/>
  <c r="S81" i="1" s="1"/>
  <c r="R77" i="1"/>
  <c r="S77" i="1" s="1"/>
  <c r="R87" i="1"/>
  <c r="S87" i="1" s="1"/>
  <c r="R84" i="1"/>
  <c r="S84" i="1" s="1"/>
  <c r="R80" i="1"/>
  <c r="S80" i="1" s="1"/>
  <c r="R76" i="1"/>
  <c r="S76" i="1" s="1"/>
  <c r="R79" i="1"/>
  <c r="S79" i="1" s="1"/>
  <c r="C16" i="1"/>
  <c r="K18" i="1"/>
  <c r="K17" i="1"/>
  <c r="L17" i="1" s="1"/>
  <c r="S69" i="1" l="1"/>
  <c r="H16" i="1"/>
  <c r="F16" i="1"/>
  <c r="D17" i="1"/>
  <c r="G16" i="1"/>
  <c r="E16" i="1"/>
  <c r="D18" i="1"/>
  <c r="S20" i="1"/>
  <c r="M20" i="1" s="1"/>
  <c r="S36" i="1"/>
  <c r="S24" i="1" s="1"/>
  <c r="S58" i="1"/>
  <c r="R50" i="1"/>
  <c r="S50" i="1" s="1"/>
  <c r="R54" i="1"/>
  <c r="S54" i="1" s="1"/>
  <c r="R51" i="1"/>
  <c r="S51" i="1" s="1"/>
  <c r="R55" i="1"/>
  <c r="S55" i="1" s="1"/>
  <c r="R52" i="1"/>
  <c r="S52" i="1" s="1"/>
  <c r="R56" i="1"/>
  <c r="S56" i="1" s="1"/>
  <c r="R53" i="1"/>
  <c r="S53" i="1" s="1"/>
  <c r="C15" i="1"/>
  <c r="L20" i="1"/>
  <c r="K15" i="1"/>
  <c r="L49" i="1"/>
  <c r="R18" i="1"/>
  <c r="S18" i="1" s="1"/>
  <c r="R17" i="1"/>
  <c r="S17" i="1" s="1"/>
  <c r="K12" i="1"/>
  <c r="L12" i="1" s="1"/>
  <c r="J11" i="1"/>
  <c r="I11" i="1"/>
  <c r="C11" i="1"/>
  <c r="D12" i="1" s="1"/>
  <c r="I10" i="1" l="1"/>
  <c r="I95" i="1"/>
  <c r="D20" i="1"/>
  <c r="G14" i="1"/>
  <c r="D16" i="1"/>
  <c r="H14" i="1"/>
  <c r="D58" i="1"/>
  <c r="F14" i="1"/>
  <c r="E14" i="1"/>
  <c r="D49" i="1"/>
  <c r="D24" i="1"/>
  <c r="D69" i="1"/>
  <c r="M24" i="1"/>
  <c r="J10" i="1"/>
  <c r="J95" i="1"/>
  <c r="S49" i="1"/>
  <c r="S16" i="1"/>
  <c r="M16" i="1" s="1"/>
  <c r="R12" i="1"/>
  <c r="S12" i="1" s="1"/>
  <c r="K11" i="1"/>
  <c r="L11" i="1" l="1"/>
  <c r="L15" i="1" l="1"/>
  <c r="K14" i="1"/>
  <c r="L16" i="1"/>
  <c r="K10" i="1" l="1"/>
  <c r="K95" i="1"/>
  <c r="C14" i="1"/>
  <c r="C10" i="1" s="1"/>
  <c r="T49" i="1" l="1"/>
  <c r="T12" i="1"/>
  <c r="U12" i="1" s="1"/>
  <c r="U11" i="1" s="1"/>
  <c r="T58" i="1"/>
  <c r="T24" i="1"/>
  <c r="T20" i="1"/>
  <c r="T16" i="1"/>
  <c r="T69" i="1"/>
  <c r="C95" i="1"/>
  <c r="L10" i="1"/>
  <c r="L14" i="1"/>
  <c r="U16" i="1" l="1"/>
  <c r="U24" i="1"/>
  <c r="U20" i="1"/>
  <c r="D10" i="1" l="1"/>
  <c r="N18" i="1"/>
  <c r="D15" i="1"/>
  <c r="N15" i="1" s="1"/>
  <c r="D14" i="1"/>
  <c r="N14" i="1" s="1"/>
  <c r="O12" i="1"/>
  <c r="N17" i="1"/>
  <c r="L95" i="1"/>
  <c r="O16" i="1"/>
  <c r="D11" i="1"/>
  <c r="O11" i="1" l="1"/>
  <c r="D95" i="1"/>
  <c r="O90" i="1"/>
  <c r="N90" i="1"/>
  <c r="N66" i="1"/>
  <c r="O66" i="1"/>
  <c r="N88" i="1"/>
  <c r="O88" i="1"/>
  <c r="N92" i="1"/>
  <c r="O92" i="1"/>
  <c r="N67" i="1"/>
  <c r="O67" i="1"/>
  <c r="O89" i="1"/>
  <c r="N89" i="1"/>
  <c r="O91" i="1"/>
  <c r="N91" i="1"/>
  <c r="O39" i="1"/>
  <c r="N39" i="1"/>
  <c r="O44" i="1"/>
  <c r="N44" i="1"/>
  <c r="O46" i="1"/>
  <c r="N46" i="1"/>
  <c r="O43" i="1"/>
  <c r="N43" i="1"/>
  <c r="O32" i="1"/>
  <c r="N32" i="1"/>
  <c r="O37" i="1"/>
  <c r="N37" i="1"/>
  <c r="O26" i="1"/>
  <c r="N26" i="1"/>
  <c r="O28" i="1"/>
  <c r="N28" i="1"/>
  <c r="O30" i="1"/>
  <c r="N30" i="1"/>
  <c r="O34" i="1"/>
  <c r="N34" i="1"/>
  <c r="O31" i="1"/>
  <c r="N31" i="1"/>
  <c r="O47" i="1"/>
  <c r="N47" i="1"/>
  <c r="O36" i="1"/>
  <c r="N36" i="1"/>
  <c r="O25" i="1"/>
  <c r="N25" i="1"/>
  <c r="O41" i="1"/>
  <c r="N41" i="1"/>
  <c r="O42" i="1"/>
  <c r="N42" i="1"/>
  <c r="O33" i="1"/>
  <c r="N33" i="1"/>
  <c r="O38" i="1"/>
  <c r="N38" i="1"/>
  <c r="O35" i="1"/>
  <c r="N35" i="1"/>
  <c r="O27" i="1"/>
  <c r="N27" i="1"/>
  <c r="O40" i="1"/>
  <c r="N40" i="1"/>
  <c r="O29" i="1"/>
  <c r="N29" i="1"/>
  <c r="O45" i="1"/>
  <c r="N45" i="1"/>
  <c r="O18" i="1"/>
  <c r="N10" i="1"/>
  <c r="N95" i="1" s="1"/>
  <c r="N16" i="1"/>
  <c r="O17" i="1"/>
  <c r="O83" i="1"/>
  <c r="N83" i="1"/>
  <c r="O65" i="1"/>
  <c r="N65" i="1"/>
  <c r="O81" i="1"/>
  <c r="N81" i="1"/>
  <c r="O52" i="1"/>
  <c r="N52" i="1"/>
  <c r="O60" i="1"/>
  <c r="N60" i="1"/>
  <c r="O79" i="1"/>
  <c r="N79" i="1"/>
  <c r="O22" i="1"/>
  <c r="N22" i="1"/>
  <c r="O55" i="1"/>
  <c r="N55" i="1"/>
  <c r="O77" i="1"/>
  <c r="N77" i="1"/>
  <c r="N24" i="1"/>
  <c r="O24" i="1"/>
  <c r="N20" i="1"/>
  <c r="O20" i="1"/>
  <c r="O51" i="1"/>
  <c r="N51" i="1"/>
  <c r="O70" i="1"/>
  <c r="N70" i="1"/>
  <c r="O21" i="1"/>
  <c r="N21" i="1"/>
  <c r="O73" i="1"/>
  <c r="N73" i="1"/>
  <c r="O63" i="1"/>
  <c r="N63" i="1"/>
  <c r="O86" i="1"/>
  <c r="N86" i="1"/>
  <c r="O74" i="1"/>
  <c r="N74" i="1"/>
  <c r="O84" i="1"/>
  <c r="N84" i="1"/>
  <c r="N69" i="1"/>
  <c r="O71" i="1"/>
  <c r="N71" i="1"/>
  <c r="O82" i="1"/>
  <c r="N82" i="1"/>
  <c r="O56" i="1"/>
  <c r="N56" i="1"/>
  <c r="O64" i="1"/>
  <c r="N64" i="1"/>
  <c r="O87" i="1"/>
  <c r="N87" i="1"/>
  <c r="O75" i="1"/>
  <c r="N75" i="1"/>
  <c r="O85" i="1"/>
  <c r="N85" i="1"/>
  <c r="O50" i="1"/>
  <c r="N50" i="1"/>
  <c r="N11" i="1"/>
  <c r="N12" i="1"/>
  <c r="O53" i="1"/>
  <c r="N53" i="1"/>
  <c r="O61" i="1"/>
  <c r="N61" i="1"/>
  <c r="O72" i="1"/>
  <c r="N72" i="1"/>
  <c r="O62" i="1"/>
  <c r="N62" i="1"/>
  <c r="O80" i="1"/>
  <c r="N80" i="1"/>
  <c r="N58" i="1"/>
  <c r="O59" i="1"/>
  <c r="N59" i="1"/>
  <c r="O78" i="1"/>
  <c r="N78" i="1"/>
  <c r="N49" i="1"/>
  <c r="O54" i="1"/>
  <c r="O76" i="1"/>
  <c r="N76" i="1"/>
  <c r="M58" i="1"/>
  <c r="U58" i="1" s="1"/>
  <c r="M49" i="1"/>
  <c r="U49" i="1" s="1"/>
  <c r="M69" i="1"/>
  <c r="U69" i="1" s="1"/>
  <c r="U15" i="1" l="1"/>
  <c r="U14" i="1" s="1"/>
  <c r="U10" i="1" s="1"/>
  <c r="M10" i="1" s="1"/>
  <c r="O10" i="1" s="1"/>
  <c r="O95" i="1" s="1"/>
  <c r="O69" i="1"/>
  <c r="O49" i="1"/>
  <c r="O58" i="1"/>
  <c r="M15" i="1" l="1"/>
  <c r="O15" i="1" s="1"/>
  <c r="M14" i="1"/>
  <c r="O14" i="1" s="1"/>
  <c r="M95" i="1"/>
</calcChain>
</file>

<file path=xl/sharedStrings.xml><?xml version="1.0" encoding="utf-8"?>
<sst xmlns="http://schemas.openxmlformats.org/spreadsheetml/2006/main" count="204" uniqueCount="192">
  <si>
    <t>Kode</t>
  </si>
  <si>
    <t>Uraian</t>
  </si>
  <si>
    <t>Anggaran</t>
  </si>
  <si>
    <t>Jumlah (Rp)</t>
  </si>
  <si>
    <t>Bobot (%)</t>
  </si>
  <si>
    <t>Realisasi Keuangan (Rp)</t>
  </si>
  <si>
    <t>S/D Bulan Lalu</t>
  </si>
  <si>
    <t>Bulan Ini</t>
  </si>
  <si>
    <t>S/D Bulan Ini</t>
  </si>
  <si>
    <t>J   U   M   L   A   H</t>
  </si>
  <si>
    <t>Sumber Dana</t>
  </si>
  <si>
    <t>Program Dan Kegiatan Pembangunan</t>
  </si>
  <si>
    <t>Capaian Kinerja (%)</t>
  </si>
  <si>
    <t>Individual</t>
  </si>
  <si>
    <t>Keu.</t>
  </si>
  <si>
    <t>Fisik</t>
  </si>
  <si>
    <t>Tertimbang</t>
  </si>
  <si>
    <t>Rencana Penyerapan Triwulanan (%)</t>
  </si>
  <si>
    <t>I</t>
  </si>
  <si>
    <t>II</t>
  </si>
  <si>
    <t>III</t>
  </si>
  <si>
    <t>IV</t>
  </si>
  <si>
    <t>LAPBD-01</t>
  </si>
  <si>
    <t xml:space="preserve"> </t>
  </si>
  <si>
    <t>Bbt Sub Keg/Keg</t>
  </si>
  <si>
    <t>Alur Penghitungan rata2 capaian Fisik Keg &amp; Program</t>
  </si>
  <si>
    <t>Bbt Kegiatan/Program</t>
  </si>
  <si>
    <t>RSUD DOKTER SOESELO KABUPATEN TEGAL</t>
  </si>
  <si>
    <t>PROGRAM PENUNJANG URUSAN PEMERINTAHAN DAERAH</t>
  </si>
  <si>
    <t>Penyediaan Jasa Penunjang Urusan Pemerintahan Daerah</t>
  </si>
  <si>
    <t>Penyediaan Jasa Pelayanan Umum Kantor</t>
  </si>
  <si>
    <t>Peningkatan Pelayanan BLUD</t>
  </si>
  <si>
    <t>Pelayanan dan Penunjang Pelayanan BLUD</t>
  </si>
  <si>
    <t>Bidang Pelayanan Medis</t>
  </si>
  <si>
    <t>Pelaksanaan Survei Akreditasi Rumah Sakit</t>
  </si>
  <si>
    <t>Pelaksanaan Program Kerja Komite Medis</t>
  </si>
  <si>
    <t xml:space="preserve">Bidang Penunjang </t>
  </si>
  <si>
    <t>Bagian Keuangan</t>
  </si>
  <si>
    <t>Penatausahaan dan Pelaporan Administrasi Keuangan Daerah</t>
  </si>
  <si>
    <t>Penyediaan Barang Cetakan dan Penggandaan</t>
  </si>
  <si>
    <t>Gaji Pegawai BLUD</t>
  </si>
  <si>
    <t>Peningkatan Pelayanan Medik</t>
  </si>
  <si>
    <t>Pembayaran Tagihan Pihak Ketiga</t>
  </si>
  <si>
    <t>Audit Laporan Keuangan BLUD</t>
  </si>
  <si>
    <t>Bagian Perencanaan dan Diklitbang</t>
  </si>
  <si>
    <t>Penyusunan Profil RS, LKjIP, Renja, dan RBA</t>
  </si>
  <si>
    <t>Forum OPD dan Musrenbang Rumah Sakit</t>
  </si>
  <si>
    <t>Pemeliharaan dan penyediaan suku cadang Hardware Unit PDE</t>
  </si>
  <si>
    <t>Pengelolaan Rumah Sakit Pendidikan</t>
  </si>
  <si>
    <t>Bagian Tata Usaha</t>
  </si>
  <si>
    <t>Perencanaan, Rekruitmen, Pengelolaan dan Evaluasi ASDM RS</t>
  </si>
  <si>
    <t>Pemeliharaan Kendaraan Operasional</t>
  </si>
  <si>
    <t xml:space="preserve">Pengadaan ATK, Benda Pos dan Jasa Pengiriman </t>
  </si>
  <si>
    <t>Penyediaan bahan bacaan dan Promosi</t>
  </si>
  <si>
    <t>Penyediaan Biaya Perjalanan Dinas</t>
  </si>
  <si>
    <t>Vaksinasi dan Pemeriksaan Kesehatan Pegawai</t>
  </si>
  <si>
    <t>Pengadaan Meubelair</t>
  </si>
  <si>
    <t>Bidang Pelayanan Keperawatan</t>
  </si>
  <si>
    <t>Pelayanan Makan Minum Pasien</t>
  </si>
  <si>
    <t>Kebersihan Rumah Sakit</t>
  </si>
  <si>
    <t>1.02.1-02.0-00.0-00.01.01</t>
  </si>
  <si>
    <t>1.02.1-02.0-00.0-00.01.01.2.08</t>
  </si>
  <si>
    <t>1.02.1-02.0-00.0-00.01.01.2.08.04</t>
  </si>
  <si>
    <t>1.02.1-02.0-00.0-00.01.01.2.10</t>
  </si>
  <si>
    <t>1.02.1-02.0-00.0-00.01.01.2.10.01</t>
  </si>
  <si>
    <t>1.02.1.02.01.01.01.01</t>
  </si>
  <si>
    <t>1.02.1.02.01.01.01.02</t>
  </si>
  <si>
    <t>1.02.1.02.01.01.02.01</t>
  </si>
  <si>
    <t>1.02.1.02.01.01.02.02</t>
  </si>
  <si>
    <t>1.02.1.02.01.01.04.01</t>
  </si>
  <si>
    <t>1.02.1.02.01.01.04.02</t>
  </si>
  <si>
    <t>1.02.1.02.01.01.04.03</t>
  </si>
  <si>
    <t>1.02.1.02.01.01.04.04</t>
  </si>
  <si>
    <t>1.02.1.02.01.01.04.05</t>
  </si>
  <si>
    <t>1.02.1.02.01.01.04.06</t>
  </si>
  <si>
    <t>1.02.1.02.01.01.04.07</t>
  </si>
  <si>
    <t>1.02.1.02.01.01.05.01</t>
  </si>
  <si>
    <t>1.02.1.02.01.01.05.02</t>
  </si>
  <si>
    <t>1.02.1.02.01.01.05.03</t>
  </si>
  <si>
    <t>1.02.1.02.01.01.05.04</t>
  </si>
  <si>
    <t>1.02.1.02.01.01.05.05</t>
  </si>
  <si>
    <t>1.02.1.02.01.01.05.07</t>
  </si>
  <si>
    <t>1.02.1.02.01.01.06.01</t>
  </si>
  <si>
    <t>1.02.1.02.01.01.06.02</t>
  </si>
  <si>
    <t>1.02.1.02.01.01.06.03</t>
  </si>
  <si>
    <t>1.02.1.02.01.01.06.04</t>
  </si>
  <si>
    <t>1.02.1.02.01.01.06.05</t>
  </si>
  <si>
    <t>1.02.1.02.01.01.06.06</t>
  </si>
  <si>
    <t>1.02.1.02.01.01.06.07</t>
  </si>
  <si>
    <t>1.02.1.02.01.01.06.08</t>
  </si>
  <si>
    <t>1.02.1.02.01.01.06.09</t>
  </si>
  <si>
    <t>1.02.1.02.01.01.06.10</t>
  </si>
  <si>
    <t>1.02.1.02.01.01.06.11</t>
  </si>
  <si>
    <t>1.02.1.02.01.01.06.12</t>
  </si>
  <si>
    <t>1.02.1.02.01.01.06.13</t>
  </si>
  <si>
    <t>1.02.1.02.01.01.06.14</t>
  </si>
  <si>
    <t>1.02.1.02.01.01.06.15</t>
  </si>
  <si>
    <t>1.02.1.02.01.01.06.16</t>
  </si>
  <si>
    <t>1.02.1.02.01.01.06.17</t>
  </si>
  <si>
    <t>1.02.1.02.01.01.06.18</t>
  </si>
  <si>
    <t>BLUD</t>
  </si>
  <si>
    <t>APBD</t>
  </si>
  <si>
    <t>dr. Guntur Muhammad Taqwin, M.Sc., Sp.An</t>
  </si>
  <si>
    <t>Direktur RSUD dr. Soeselo</t>
  </si>
  <si>
    <t>Kabupaten Tegal</t>
  </si>
  <si>
    <t>NIP. 19700309 200312 1 005</t>
  </si>
  <si>
    <t>1.02.1.02.01.01.03.01</t>
  </si>
  <si>
    <t>Pelayanan Obat-obatan</t>
  </si>
  <si>
    <t>1.02.1.02.01.01.03.02</t>
  </si>
  <si>
    <t>Pelayanan Alat Kesehatan Pakai Habis</t>
  </si>
  <si>
    <t>1.02.1.02.01.01.03.03</t>
  </si>
  <si>
    <t>Pelayanan Farmasi</t>
  </si>
  <si>
    <t>1.02.1.02.01.01.03.04</t>
  </si>
  <si>
    <t>Pelayanan Laboratorium</t>
  </si>
  <si>
    <t>1.02.1.02.01.01.03.05</t>
  </si>
  <si>
    <t>Pelayanan Bank Darah Rumah Sakit</t>
  </si>
  <si>
    <t>1.02.1.02.01.01.03.06</t>
  </si>
  <si>
    <t>Pelayanan Radiologi</t>
  </si>
  <si>
    <t>1.02.1.02.01.01.03.07</t>
  </si>
  <si>
    <t>Pelayanan Hemodialisa</t>
  </si>
  <si>
    <t>1.02.1.02.01.01.03.08</t>
  </si>
  <si>
    <t>Pelayanan Rehabilitasi Medik</t>
  </si>
  <si>
    <t>1.02.1.02.01.01.03.09</t>
  </si>
  <si>
    <t>Pengadaan Barang cetakan Rekam Medis</t>
  </si>
  <si>
    <t>1.02.1.02.01.01.03.10</t>
  </si>
  <si>
    <t>Pengadaan Perlengkapan Rekam Medis</t>
  </si>
  <si>
    <t>1.02.1.02.01.01.03.11</t>
  </si>
  <si>
    <t>Pengadaan Perlengkapan Pendaftaran Pasien Rumah Sakit</t>
  </si>
  <si>
    <t>1.02.1.02.01.01.03.12</t>
  </si>
  <si>
    <t>1.02.1.02.01.01.03.13</t>
  </si>
  <si>
    <t>Pelayanan Pemulasaran Jenazah</t>
  </si>
  <si>
    <t>1.02.1.02.01.01.03.14</t>
  </si>
  <si>
    <t>Pelayanan Sanitasi dan Laundry</t>
  </si>
  <si>
    <t>1.02.1.02.01.01.03.15</t>
  </si>
  <si>
    <t>Pelayanan CSSD</t>
  </si>
  <si>
    <t>1.02.1.02.01.01.03.16</t>
  </si>
  <si>
    <t>Pengelola Sampah Medis</t>
  </si>
  <si>
    <t>1.02.1.02.01.01.03.17</t>
  </si>
  <si>
    <t>Pelayanan PPI</t>
  </si>
  <si>
    <t>1.02.1.02.01.01.03.18</t>
  </si>
  <si>
    <t>Pelayanan IPSRS</t>
  </si>
  <si>
    <t>1.02.1.02.01.01.03.19</t>
  </si>
  <si>
    <t>Perlengkapan Pelayanan Pasien</t>
  </si>
  <si>
    <t>1.02.1.02.01.01.03.20</t>
  </si>
  <si>
    <t>Pengadaan Alkes Rumah Sakit</t>
  </si>
  <si>
    <t>1.02.1.02.01.01.03.21</t>
  </si>
  <si>
    <t>1.02.1.02.01.01.03.22</t>
  </si>
  <si>
    <t>1.02.1.02.01.01.03.23</t>
  </si>
  <si>
    <t>1.02.1.02.01.01.05.09</t>
  </si>
  <si>
    <t>1.02.1.02.01.01.05.10</t>
  </si>
  <si>
    <t>1.02.1.02.01.01.06.19</t>
  </si>
  <si>
    <t>1.02.1.02.01.01.06.20</t>
  </si>
  <si>
    <t>1.02.1.02.01.01.06.21</t>
  </si>
  <si>
    <t>1.02.1.02.01.01.06.22</t>
  </si>
  <si>
    <t>1.02.1.02.01.01.06.23</t>
  </si>
  <si>
    <t>Pendidikan dan Pelatihan</t>
  </si>
  <si>
    <t>BTCLS</t>
  </si>
  <si>
    <t>Internal</t>
  </si>
  <si>
    <t>Eksterna</t>
  </si>
  <si>
    <t>Outbond</t>
  </si>
  <si>
    <t>Honor</t>
  </si>
  <si>
    <t>Pembina Utama Muda</t>
  </si>
  <si>
    <t>LAPORAN BULANAN PELAKSANAAN PROGRAM DAN KEGIATAN PEMBANGUNAN TAHUN ANGGARAN 2022</t>
  </si>
  <si>
    <t>Penataan/ pemeliharaan IPAL  RS</t>
  </si>
  <si>
    <t>Penataan jaringan kabel data, listrik dll</t>
  </si>
  <si>
    <t xml:space="preserve">Penataan Sarana Air Bersih, IPAL dll </t>
  </si>
  <si>
    <t>Pengadaan Prasarana Listrik RS</t>
  </si>
  <si>
    <t>Kegiatan Emergency oerasional Pelayanan  RS</t>
  </si>
  <si>
    <t>Pengadaan PAC/RIS Hardware PDE dan Pemenuhan Lisensi  dll</t>
  </si>
  <si>
    <t>Pembuatan DED Gedung Laundry dan Manajemen Konstruksi Gedung Gizi</t>
  </si>
  <si>
    <t>Review Masterplan RS dan Pembuatan Maket</t>
  </si>
  <si>
    <t>Survey Kepuasan Pelanggan</t>
  </si>
  <si>
    <t>Asuransi Pelayanan Medik / Pengelolaan Asuransi Profesi Dokter</t>
  </si>
  <si>
    <t>Penyediaan Makan dan Minum Rapat/Tamu dan Karyawan</t>
  </si>
  <si>
    <t>Pengadaan Barang Cetakan Umum</t>
  </si>
  <si>
    <t>Pengadaan Peralatan Perlengkapan Gedung Kantor</t>
  </si>
  <si>
    <t>Renovasi Pagar Depan Gedung Layanan Geriatri dan Rehab Medik</t>
  </si>
  <si>
    <t>Renovasi Gedung IPSRS</t>
  </si>
  <si>
    <t>Pengadaan Kendaraan Dinas Operasional</t>
  </si>
  <si>
    <t>Renovasi Ruang Direksi dan Ruang Rapat Eks Keperawatan</t>
  </si>
  <si>
    <t>Pembangunan Tembok Keliling (Belakang) Rumah Sakit</t>
  </si>
  <si>
    <t>Pembangunan Gedung Gizi</t>
  </si>
  <si>
    <t>Pengadaan Seragam Karyawan RS</t>
  </si>
  <si>
    <t>Pemindahan/Penataan Barang RS</t>
  </si>
  <si>
    <t xml:space="preserve">Renovasi ruang Nusa Indah  </t>
  </si>
  <si>
    <t>Pengadaan Tanah RS</t>
  </si>
  <si>
    <t>Pembangunan Gedung Pengembangan Layanan Geriatri, Rehab Medik, Anak, dan Tumbuh Kembang Terpadu Tahap 2.</t>
  </si>
  <si>
    <t>Pembangunan Lanjutan Pujasera</t>
  </si>
  <si>
    <t>Penataan Ruang Cathlab Tahap II</t>
  </si>
  <si>
    <t>1.02.1.02.01.01.06.24</t>
  </si>
  <si>
    <t>BULAN MARET 2022</t>
  </si>
  <si>
    <t>Slawi,    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</si>
</sst>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\-_);_(@_)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41" fontId="4" fillId="0" borderId="1" xfId="9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3" fillId="7" borderId="0" xfId="0" applyFont="1" applyFill="1"/>
    <xf numFmtId="0" fontId="3" fillId="6" borderId="0" xfId="0" applyFont="1" applyFill="1"/>
    <xf numFmtId="43" fontId="4" fillId="2" borderId="1" xfId="0" applyNumberFormat="1" applyFont="1" applyFill="1" applyBorder="1" applyAlignment="1">
      <alignment vertical="top"/>
    </xf>
    <xf numFmtId="43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43" fontId="1" fillId="3" borderId="1" xfId="1" applyNumberFormat="1" applyFont="1" applyFill="1" applyBorder="1" applyAlignment="1">
      <alignment vertical="top"/>
    </xf>
    <xf numFmtId="43" fontId="1" fillId="3" borderId="1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vertical="top"/>
    </xf>
    <xf numFmtId="0" fontId="10" fillId="7" borderId="3" xfId="0" applyFont="1" applyFill="1" applyBorder="1" applyAlignment="1">
      <alignment horizontal="left" vertical="top" wrapText="1"/>
    </xf>
    <xf numFmtId="20" fontId="14" fillId="8" borderId="1" xfId="0" applyNumberFormat="1" applyFont="1" applyFill="1" applyBorder="1" applyAlignment="1">
      <alignment vertical="top"/>
    </xf>
    <xf numFmtId="20" fontId="13" fillId="2" borderId="1" xfId="0" applyNumberFormat="1" applyFont="1" applyFill="1" applyBorder="1" applyAlignment="1">
      <alignment vertical="top"/>
    </xf>
    <xf numFmtId="20" fontId="12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0" fontId="13" fillId="0" borderId="3" xfId="0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vertical="top"/>
    </xf>
    <xf numFmtId="43" fontId="1" fillId="4" borderId="1" xfId="1" applyNumberFormat="1" applyFont="1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6" fontId="4" fillId="2" borderId="1" xfId="0" applyNumberFormat="1" applyFont="1" applyFill="1" applyBorder="1" applyAlignment="1">
      <alignment vertical="top"/>
    </xf>
    <xf numFmtId="166" fontId="3" fillId="3" borderId="1" xfId="1" applyNumberFormat="1" applyFont="1" applyFill="1" applyBorder="1" applyAlignment="1">
      <alignment vertical="top"/>
    </xf>
    <xf numFmtId="166" fontId="1" fillId="4" borderId="1" xfId="1" applyNumberFormat="1" applyFont="1" applyFill="1" applyBorder="1" applyAlignment="1">
      <alignment vertical="top"/>
    </xf>
    <xf numFmtId="166" fontId="3" fillId="4" borderId="1" xfId="1" applyNumberFormat="1" applyFont="1" applyFill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top"/>
    </xf>
    <xf numFmtId="166" fontId="3" fillId="8" borderId="1" xfId="1" applyNumberFormat="1" applyFont="1" applyFill="1" applyBorder="1" applyAlignment="1">
      <alignment vertical="top"/>
    </xf>
    <xf numFmtId="166" fontId="3" fillId="0" borderId="4" xfId="1" applyNumberFormat="1" applyFont="1" applyBorder="1" applyAlignment="1">
      <alignment vertical="top"/>
    </xf>
    <xf numFmtId="166" fontId="4" fillId="0" borderId="8" xfId="1" applyNumberFormat="1" applyFont="1" applyBorder="1" applyAlignment="1">
      <alignment vertical="top"/>
    </xf>
    <xf numFmtId="166" fontId="3" fillId="7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43" fontId="9" fillId="0" borderId="1" xfId="0" applyNumberFormat="1" applyFont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0" fillId="0" borderId="16" xfId="0" applyFont="1" applyBorder="1"/>
    <xf numFmtId="2" fontId="3" fillId="3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2" borderId="1" xfId="1" applyNumberFormat="1" applyFont="1" applyFill="1" applyBorder="1" applyAlignment="1">
      <alignment vertical="top"/>
    </xf>
    <xf numFmtId="2" fontId="4" fillId="2" borderId="1" xfId="1" applyNumberFormat="1" applyFont="1" applyFill="1" applyBorder="1" applyAlignment="1">
      <alignment vertical="top"/>
    </xf>
    <xf numFmtId="43" fontId="4" fillId="0" borderId="1" xfId="0" applyNumberFormat="1" applyFont="1" applyFill="1" applyBorder="1" applyAlignment="1">
      <alignment vertical="top"/>
    </xf>
    <xf numFmtId="43" fontId="9" fillId="2" borderId="1" xfId="1" applyNumberFormat="1" applyFont="1" applyFill="1" applyBorder="1" applyAlignment="1">
      <alignment vertical="top"/>
    </xf>
    <xf numFmtId="43" fontId="9" fillId="2" borderId="1" xfId="0" applyNumberFormat="1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166" fontId="0" fillId="0" borderId="0" xfId="0" applyNumberFormat="1" applyFont="1"/>
    <xf numFmtId="41" fontId="4" fillId="0" borderId="0" xfId="0" applyNumberFormat="1" applyFont="1"/>
    <xf numFmtId="10" fontId="4" fillId="0" borderId="0" xfId="10" applyNumberFormat="1" applyFont="1"/>
    <xf numFmtId="10" fontId="4" fillId="0" borderId="0" xfId="0" applyNumberFormat="1" applyFont="1"/>
    <xf numFmtId="166" fontId="1" fillId="0" borderId="0" xfId="0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6" fontId="3" fillId="4" borderId="1" xfId="0" applyNumberFormat="1" applyFont="1" applyFill="1" applyBorder="1" applyAlignment="1">
      <alignment vertical="top"/>
    </xf>
    <xf numFmtId="43" fontId="3" fillId="4" borderId="1" xfId="1" applyNumberFormat="1" applyFont="1" applyFill="1" applyBorder="1" applyAlignment="1">
      <alignment vertical="top"/>
    </xf>
    <xf numFmtId="43" fontId="3" fillId="4" borderId="1" xfId="0" applyNumberFormat="1" applyFont="1" applyFill="1" applyBorder="1" applyAlignment="1">
      <alignment vertical="top"/>
    </xf>
    <xf numFmtId="166" fontId="3" fillId="7" borderId="1" xfId="0" applyNumberFormat="1" applyFont="1" applyFill="1" applyBorder="1" applyAlignment="1">
      <alignment vertical="top"/>
    </xf>
    <xf numFmtId="43" fontId="3" fillId="7" borderId="1" xfId="1" applyNumberFormat="1" applyFont="1" applyFill="1" applyBorder="1" applyAlignment="1">
      <alignment vertical="top"/>
    </xf>
    <xf numFmtId="43" fontId="3" fillId="7" borderId="1" xfId="0" applyNumberFormat="1" applyFont="1" applyFill="1" applyBorder="1" applyAlignment="1">
      <alignment vertical="top"/>
    </xf>
    <xf numFmtId="166" fontId="3" fillId="8" borderId="1" xfId="0" applyNumberFormat="1" applyFont="1" applyFill="1" applyBorder="1" applyAlignment="1">
      <alignment vertical="top"/>
    </xf>
    <xf numFmtId="43" fontId="3" fillId="8" borderId="1" xfId="1" applyNumberFormat="1" applyFont="1" applyFill="1" applyBorder="1" applyAlignment="1">
      <alignment vertical="top"/>
    </xf>
    <xf numFmtId="43" fontId="3" fillId="8" borderId="1" xfId="0" applyNumberFormat="1" applyFont="1" applyFill="1" applyBorder="1" applyAlignment="1">
      <alignment vertical="top"/>
    </xf>
    <xf numFmtId="43" fontId="21" fillId="8" borderId="1" xfId="0" applyNumberFormat="1" applyFont="1" applyFill="1" applyBorder="1" applyAlignment="1">
      <alignment vertical="top"/>
    </xf>
    <xf numFmtId="166" fontId="21" fillId="8" borderId="1" xfId="0" applyNumberFormat="1" applyFont="1" applyFill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2" fontId="3" fillId="4" borderId="0" xfId="0" applyNumberFormat="1" applyFont="1" applyFill="1" applyAlignment="1">
      <alignment vertical="top"/>
    </xf>
    <xf numFmtId="2" fontId="4" fillId="0" borderId="0" xfId="0" applyNumberFormat="1" applyFont="1" applyAlignment="1">
      <alignment vertical="top"/>
    </xf>
    <xf numFmtId="0" fontId="3" fillId="8" borderId="0" xfId="0" applyFont="1" applyFill="1" applyAlignment="1">
      <alignment vertical="top"/>
    </xf>
    <xf numFmtId="0" fontId="22" fillId="2" borderId="1" xfId="0" applyFont="1" applyFill="1" applyBorder="1" applyAlignment="1">
      <alignment vertical="top"/>
    </xf>
    <xf numFmtId="168" fontId="22" fillId="0" borderId="1" xfId="11" applyNumberFormat="1" applyFont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168" fontId="23" fillId="2" borderId="1" xfId="11" applyNumberFormat="1" applyFont="1" applyFill="1" applyBorder="1" applyAlignment="1">
      <alignment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168" fontId="22" fillId="0" borderId="1" xfId="11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8" fontId="22" fillId="0" borderId="1" xfId="19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Fill="1" applyBorder="1" applyAlignment="1">
      <alignment vertical="top"/>
    </xf>
    <xf numFmtId="0" fontId="3" fillId="8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8" fontId="22" fillId="0" borderId="10" xfId="19" applyNumberFormat="1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9" fillId="2" borderId="11" xfId="1" applyNumberFormat="1" applyFont="1" applyFill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166" fontId="3" fillId="0" borderId="11" xfId="1" applyNumberFormat="1" applyFont="1" applyBorder="1" applyAlignment="1">
      <alignment vertical="top"/>
    </xf>
    <xf numFmtId="166" fontId="4" fillId="0" borderId="11" xfId="1" applyNumberFormat="1" applyFont="1" applyBorder="1" applyAlignment="1">
      <alignment vertical="top"/>
    </xf>
    <xf numFmtId="43" fontId="2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5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1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43" fontId="4" fillId="2" borderId="1" xfId="1" applyFont="1" applyFill="1" applyBorder="1" applyAlignment="1">
      <alignment vertical="top"/>
    </xf>
  </cellXfs>
  <cellStyles count="20">
    <cellStyle name="Comma" xfId="1" builtinId="3"/>
    <cellStyle name="Comma [0]" xfId="9" builtinId="6"/>
    <cellStyle name="Comma [0] 10 5" xfId="2" xr:uid="{00000000-0005-0000-0000-000002000000}"/>
    <cellStyle name="Comma [0] 10_Lap BKU Kab. smg 12 April " xfId="8" xr:uid="{00000000-0005-0000-0000-000003000000}"/>
    <cellStyle name="Comma [0] 2" xfId="13" xr:uid="{46415DEC-BF01-4F09-BFF5-BB0CBDEB875C}"/>
    <cellStyle name="Comma [0] 2 7" xfId="6" xr:uid="{00000000-0005-0000-0000-000004000000}"/>
    <cellStyle name="Comma [0] 2 7 2" xfId="7" xr:uid="{00000000-0005-0000-0000-000005000000}"/>
    <cellStyle name="Comma [0] 32" xfId="4" xr:uid="{00000000-0005-0000-0000-000006000000}"/>
    <cellStyle name="Comma 2" xfId="14" xr:uid="{E2AEA176-8967-44E8-AD20-5EF73B542F47}"/>
    <cellStyle name="Comma 3" xfId="11" xr:uid="{39A51189-F7B2-4A6D-BFDC-8C542E4E4103}"/>
    <cellStyle name="Comma 3 2" xfId="19" xr:uid="{5C13A774-3284-46B7-9BE5-AE0C12F41427}"/>
    <cellStyle name="Normal" xfId="0" builtinId="0"/>
    <cellStyle name="Normal 10" xfId="3" xr:uid="{00000000-0005-0000-0000-000008000000}"/>
    <cellStyle name="Normal 18" xfId="5" xr:uid="{00000000-0005-0000-0000-000009000000}"/>
    <cellStyle name="Normal 2" xfId="12" xr:uid="{40AA8EA2-A38A-4132-8F95-054235FBF27E}"/>
    <cellStyle name="Normal 2 2" xfId="15" xr:uid="{07FE6F22-56C6-4E1B-9853-DF0151E2430B}"/>
    <cellStyle name="Normal 5" xfId="16" xr:uid="{C916247B-1D4B-489A-A17C-3A3B18539C89}"/>
    <cellStyle name="Normal 7" xfId="17" xr:uid="{20099807-5840-4399-B2B6-0CD7BD9A3DDE}"/>
    <cellStyle name="Normal 8" xfId="18" xr:uid="{5597CF4D-F946-4A0F-8FFE-CE78179612BD}"/>
    <cellStyle name="Percent" xfId="10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view="pageBreakPreview" zoomScale="70" zoomScaleNormal="70" zoomScaleSheetLayoutView="70" workbookViewId="0">
      <pane xSplit="4" ySplit="6" topLeftCell="E85" activePane="bottomRight" state="frozen"/>
      <selection pane="topRight" activeCell="E1" sqref="E1"/>
      <selection pane="bottomLeft" activeCell="A7" sqref="A7"/>
      <selection pane="bottomRight" activeCell="P14" sqref="P14"/>
    </sheetView>
  </sheetViews>
  <sheetFormatPr defaultRowHeight="15" x14ac:dyDescent="0.25"/>
  <cols>
    <col min="1" max="1" width="28.5703125" style="31" customWidth="1"/>
    <col min="2" max="2" width="48.7109375" style="31" customWidth="1"/>
    <col min="3" max="3" width="17" style="30" customWidth="1"/>
    <col min="4" max="4" width="9" style="30" customWidth="1"/>
    <col min="5" max="5" width="9.5703125" style="30" customWidth="1"/>
    <col min="6" max="6" width="9.28515625" style="30" customWidth="1"/>
    <col min="7" max="7" width="9.42578125" style="30" customWidth="1"/>
    <col min="8" max="8" width="8.7109375" style="30" customWidth="1"/>
    <col min="9" max="9" width="18.5703125" style="5" customWidth="1"/>
    <col min="10" max="10" width="17.28515625" style="30" customWidth="1"/>
    <col min="11" max="11" width="18.85546875" style="30" customWidth="1"/>
    <col min="12" max="12" width="8.5703125" style="30" customWidth="1"/>
    <col min="13" max="13" width="9" style="30" customWidth="1"/>
    <col min="14" max="15" width="8.28515625" style="30" customWidth="1"/>
    <col min="16" max="16" width="12.140625" style="30" customWidth="1"/>
    <col min="17" max="17" width="16.42578125" style="34" customWidth="1"/>
    <col min="18" max="18" width="11" style="30" customWidth="1"/>
    <col min="19" max="19" width="10.7109375" style="30" customWidth="1"/>
    <col min="20" max="20" width="10.5703125" style="30" customWidth="1"/>
    <col min="21" max="21" width="11.7109375" style="30" customWidth="1"/>
    <col min="22" max="24" width="9.140625" style="30"/>
    <col min="25" max="25" width="14.85546875" style="30" customWidth="1"/>
    <col min="26" max="27" width="9.140625" style="30"/>
    <col min="28" max="28" width="8.7109375" style="30" customWidth="1"/>
    <col min="29" max="16384" width="9.140625" style="30"/>
  </cols>
  <sheetData>
    <row r="1" spans="1:21" x14ac:dyDescent="0.25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77"/>
    </row>
    <row r="2" spans="1:21" x14ac:dyDescent="0.25">
      <c r="A2" s="161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8"/>
    </row>
    <row r="3" spans="1:21" x14ac:dyDescent="0.25">
      <c r="A3" s="161" t="s">
        <v>162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96"/>
      <c r="T3" s="92"/>
    </row>
    <row r="4" spans="1:21" x14ac:dyDescent="0.25">
      <c r="A4" s="161" t="s">
        <v>190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97"/>
    </row>
    <row r="5" spans="1:21" ht="15.75" thickBot="1" x14ac:dyDescent="0.3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79"/>
    </row>
    <row r="6" spans="1:21" s="8" customFormat="1" ht="22.5" customHeight="1" thickTop="1" x14ac:dyDescent="0.25">
      <c r="A6" s="169" t="s">
        <v>11</v>
      </c>
      <c r="B6" s="170"/>
      <c r="C6" s="169" t="s">
        <v>2</v>
      </c>
      <c r="D6" s="170"/>
      <c r="E6" s="169" t="s">
        <v>17</v>
      </c>
      <c r="F6" s="171"/>
      <c r="G6" s="171"/>
      <c r="H6" s="170"/>
      <c r="I6" s="169" t="s">
        <v>5</v>
      </c>
      <c r="J6" s="171"/>
      <c r="K6" s="170"/>
      <c r="L6" s="169" t="s">
        <v>12</v>
      </c>
      <c r="M6" s="171"/>
      <c r="N6" s="171"/>
      <c r="O6" s="170"/>
      <c r="P6" s="172" t="s">
        <v>10</v>
      </c>
      <c r="Q6" s="80"/>
      <c r="R6" s="163" t="s">
        <v>25</v>
      </c>
      <c r="S6" s="163"/>
      <c r="T6" s="163"/>
      <c r="U6" s="163"/>
    </row>
    <row r="7" spans="1:21" s="8" customFormat="1" ht="18" customHeight="1" x14ac:dyDescent="0.25">
      <c r="A7" s="157" t="s">
        <v>0</v>
      </c>
      <c r="B7" s="157" t="s">
        <v>1</v>
      </c>
      <c r="C7" s="154" t="s">
        <v>3</v>
      </c>
      <c r="D7" s="159" t="s">
        <v>4</v>
      </c>
      <c r="E7" s="154" t="s">
        <v>18</v>
      </c>
      <c r="F7" s="154" t="s">
        <v>19</v>
      </c>
      <c r="G7" s="154" t="s">
        <v>20</v>
      </c>
      <c r="H7" s="154" t="s">
        <v>21</v>
      </c>
      <c r="I7" s="152" t="s">
        <v>6</v>
      </c>
      <c r="J7" s="154" t="s">
        <v>7</v>
      </c>
      <c r="K7" s="154" t="s">
        <v>8</v>
      </c>
      <c r="L7" s="174" t="s">
        <v>13</v>
      </c>
      <c r="M7" s="175"/>
      <c r="N7" s="174" t="s">
        <v>16</v>
      </c>
      <c r="O7" s="175"/>
      <c r="P7" s="173"/>
      <c r="Q7" s="80"/>
    </row>
    <row r="8" spans="1:21" s="8" customFormat="1" ht="17.25" customHeight="1" x14ac:dyDescent="0.25">
      <c r="A8" s="158"/>
      <c r="B8" s="158"/>
      <c r="C8" s="155"/>
      <c r="D8" s="160"/>
      <c r="E8" s="155"/>
      <c r="F8" s="155"/>
      <c r="G8" s="155"/>
      <c r="H8" s="155"/>
      <c r="I8" s="153"/>
      <c r="J8" s="155"/>
      <c r="K8" s="155"/>
      <c r="L8" s="66" t="s">
        <v>14</v>
      </c>
      <c r="M8" s="66" t="s">
        <v>15</v>
      </c>
      <c r="N8" s="66" t="s">
        <v>14</v>
      </c>
      <c r="O8" s="66" t="s">
        <v>15</v>
      </c>
      <c r="P8" s="160"/>
      <c r="Q8" s="80"/>
    </row>
    <row r="9" spans="1:21" s="7" customFormat="1" x14ac:dyDescent="0.25">
      <c r="A9" s="9">
        <v>1</v>
      </c>
      <c r="B9" s="9">
        <v>2</v>
      </c>
      <c r="C9" s="1"/>
      <c r="D9" s="2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81"/>
      <c r="T9" s="164" t="s">
        <v>26</v>
      </c>
      <c r="U9" s="164"/>
    </row>
    <row r="10" spans="1:21" s="31" customFormat="1" ht="28.5" customHeight="1" x14ac:dyDescent="0.25">
      <c r="A10" s="37" t="s">
        <v>60</v>
      </c>
      <c r="B10" s="16" t="s">
        <v>28</v>
      </c>
      <c r="C10" s="27">
        <f>C11+C14</f>
        <v>171866825000</v>
      </c>
      <c r="D10" s="28">
        <f>C10/$C$95*100</f>
        <v>100</v>
      </c>
      <c r="E10" s="29">
        <f>(54205000+53258574700)/$C$10*100</f>
        <v>31.019819968164303</v>
      </c>
      <c r="F10" s="29">
        <f>(54205000+41205000+53258574700+46137281883)/$C$10*100</f>
        <v>57.888581221535915</v>
      </c>
      <c r="G10" s="29">
        <f>(54205000+41205000+41205000+53258574700+46137281883+52270204734)/$C$10*100</f>
        <v>88.325758224136621</v>
      </c>
      <c r="H10" s="29">
        <f>(54205000+41205000+41205000+28354500+1855500+53258574700+46137281883+52270204734+20033938683)/$C$10*100</f>
        <v>100</v>
      </c>
      <c r="I10" s="53">
        <f>SUM(I11+I14)</f>
        <v>17332819615</v>
      </c>
      <c r="J10" s="53">
        <f t="shared" ref="J10:K10" si="0">SUM(J11+J14)</f>
        <v>15170271939</v>
      </c>
      <c r="K10" s="53">
        <f t="shared" si="0"/>
        <v>32503091554</v>
      </c>
      <c r="L10" s="29">
        <f>K10/C10*100</f>
        <v>18.911789144880053</v>
      </c>
      <c r="M10" s="29">
        <f>U10</f>
        <v>26.089797318359729</v>
      </c>
      <c r="N10" s="29">
        <f>L10*D10/100</f>
        <v>18.911789144880053</v>
      </c>
      <c r="O10" s="29">
        <f>M10*D10/100</f>
        <v>26.089797318359729</v>
      </c>
      <c r="P10" s="14"/>
      <c r="Q10" s="82"/>
      <c r="R10" s="162" t="s">
        <v>24</v>
      </c>
      <c r="S10" s="162"/>
      <c r="U10" s="73">
        <f>SUM(U11+U14)</f>
        <v>26.089797318359729</v>
      </c>
    </row>
    <row r="11" spans="1:21" ht="33" customHeight="1" x14ac:dyDescent="0.25">
      <c r="A11" s="38" t="s">
        <v>61</v>
      </c>
      <c r="B11" s="17" t="s">
        <v>29</v>
      </c>
      <c r="C11" s="48">
        <f>SUM(C12:C12)</f>
        <v>166825000</v>
      </c>
      <c r="D11" s="49">
        <f>C11/$C$95*100</f>
        <v>9.706643501443632E-2</v>
      </c>
      <c r="E11" s="50">
        <f>(54205000)/$C$11*100</f>
        <v>32.492132474149557</v>
      </c>
      <c r="F11" s="50">
        <f>(54205000+41205000)/$C$11*100</f>
        <v>57.191667915480295</v>
      </c>
      <c r="G11" s="50">
        <f>(54205000+41205000+41205000)/$C$11*100</f>
        <v>81.891203356811033</v>
      </c>
      <c r="H11" s="50">
        <f>(54205000+41205000+41205000+28354500+1855500)/$C$11*100</f>
        <v>100</v>
      </c>
      <c r="I11" s="55">
        <f>SUM(I12:I12)</f>
        <v>9305920</v>
      </c>
      <c r="J11" s="54">
        <f>SUM(J12:J12)</f>
        <v>4652960</v>
      </c>
      <c r="K11" s="54">
        <f>I11+J11</f>
        <v>13958880</v>
      </c>
      <c r="L11" s="50">
        <f>K11/C11*100</f>
        <v>8.3673789899595388</v>
      </c>
      <c r="M11" s="50">
        <f>M12</f>
        <v>25</v>
      </c>
      <c r="N11" s="50">
        <f>L11*D11/100</f>
        <v>8.121916489700674E-3</v>
      </c>
      <c r="O11" s="50">
        <f>M11*D11/100</f>
        <v>2.4266608753609076E-2</v>
      </c>
      <c r="P11" s="69" t="s">
        <v>101</v>
      </c>
      <c r="Q11" s="83">
        <f>54205000+41205000+41205000+28354500</f>
        <v>164969500</v>
      </c>
      <c r="R11" s="25"/>
      <c r="S11" s="114"/>
      <c r="T11" s="115"/>
      <c r="U11" s="115">
        <f>SUM(U12)</f>
        <v>2.4266608753609076E-2</v>
      </c>
    </row>
    <row r="12" spans="1:21" s="3" customFormat="1" ht="21" customHeight="1" x14ac:dyDescent="0.25">
      <c r="A12" s="39" t="s">
        <v>62</v>
      </c>
      <c r="B12" s="13" t="s">
        <v>30</v>
      </c>
      <c r="C12" s="51">
        <v>166825000</v>
      </c>
      <c r="D12" s="87">
        <f>C12/$C$11*100</f>
        <v>100</v>
      </c>
      <c r="E12" s="88">
        <f>(54205000)/$C$12*100</f>
        <v>32.492132474149557</v>
      </c>
      <c r="F12" s="88">
        <f>(54205000+41205000)/$C$12*100</f>
        <v>57.191667915480295</v>
      </c>
      <c r="G12" s="88">
        <f>(54205000+41205000+41205000)/$C$12*100</f>
        <v>81.891203356811033</v>
      </c>
      <c r="H12" s="88">
        <f>(54205000+41205000+41205000+28354500+1855500)/$C$12*100</f>
        <v>100</v>
      </c>
      <c r="I12" s="57">
        <v>9305920</v>
      </c>
      <c r="J12" s="60">
        <v>4652960</v>
      </c>
      <c r="K12" s="57">
        <f>I12+J12</f>
        <v>13958880</v>
      </c>
      <c r="L12" s="24">
        <f>K12/C12*100</f>
        <v>8.3673789899595388</v>
      </c>
      <c r="M12" s="24">
        <v>25</v>
      </c>
      <c r="N12" s="23">
        <f>L12*D12/100</f>
        <v>8.3673789899595388</v>
      </c>
      <c r="O12" s="23">
        <f>M12*D12/100</f>
        <v>25</v>
      </c>
      <c r="P12" s="70" t="s">
        <v>101</v>
      </c>
      <c r="Q12" s="151">
        <f>C11-Q11</f>
        <v>1855500</v>
      </c>
      <c r="R12" s="25">
        <f>C12/$C$11*100</f>
        <v>100</v>
      </c>
      <c r="S12" s="115">
        <f>M12*R12/100</f>
        <v>25</v>
      </c>
      <c r="T12" s="115">
        <f>C12/$C$10*100</f>
        <v>9.706643501443632E-2</v>
      </c>
      <c r="U12" s="26">
        <f>M12*T12/100</f>
        <v>2.4266608753609076E-2</v>
      </c>
    </row>
    <row r="13" spans="1:21" ht="12.75" customHeight="1" x14ac:dyDescent="0.25">
      <c r="A13" s="40"/>
      <c r="B13" s="13"/>
      <c r="C13" s="24"/>
      <c r="D13" s="63"/>
      <c r="E13" s="24"/>
      <c r="F13" s="24"/>
      <c r="G13" s="24"/>
      <c r="H13" s="24"/>
      <c r="I13" s="56"/>
      <c r="J13" s="57"/>
      <c r="K13" s="57"/>
      <c r="L13" s="24"/>
      <c r="M13" s="24"/>
      <c r="N13" s="24"/>
      <c r="O13" s="24"/>
      <c r="P13" s="13"/>
      <c r="Q13" s="85"/>
      <c r="R13" s="25"/>
      <c r="S13" s="25"/>
      <c r="T13" s="3"/>
      <c r="U13" s="3"/>
    </row>
    <row r="14" spans="1:21" ht="22.5" customHeight="1" x14ac:dyDescent="0.25">
      <c r="A14" s="38" t="s">
        <v>63</v>
      </c>
      <c r="B14" s="15" t="s">
        <v>31</v>
      </c>
      <c r="C14" s="98">
        <f>SUM(C15)</f>
        <v>171700000000</v>
      </c>
      <c r="D14" s="99">
        <f>C14/$C$95*100</f>
        <v>99.90293356498556</v>
      </c>
      <c r="E14" s="100">
        <f>SUM(E15)</f>
        <v>31.018389458357596</v>
      </c>
      <c r="F14" s="100">
        <f t="shared" ref="F14:H14" si="1">SUM(F15)</f>
        <v>57.889258347699482</v>
      </c>
      <c r="G14" s="100">
        <f t="shared" si="1"/>
        <v>88.332010085614442</v>
      </c>
      <c r="H14" s="100">
        <f t="shared" si="1"/>
        <v>100</v>
      </c>
      <c r="I14" s="55">
        <f>I15</f>
        <v>17323513695</v>
      </c>
      <c r="J14" s="55">
        <f t="shared" ref="J14:K14" si="2">J15</f>
        <v>15165618979</v>
      </c>
      <c r="K14" s="55">
        <f t="shared" si="2"/>
        <v>32489132674</v>
      </c>
      <c r="L14" s="100">
        <f>K14/C14*100</f>
        <v>18.922034172393708</v>
      </c>
      <c r="M14" s="100">
        <f>U14</f>
        <v>26.065530709606119</v>
      </c>
      <c r="N14" s="100">
        <f>L14*D14/100</f>
        <v>18.903667228390351</v>
      </c>
      <c r="O14" s="100">
        <f>M14*D14/100</f>
        <v>26.04022982817871</v>
      </c>
      <c r="P14" s="69" t="s">
        <v>100</v>
      </c>
      <c r="Q14" s="82"/>
      <c r="R14" s="25"/>
      <c r="S14" s="25"/>
      <c r="T14" s="3"/>
      <c r="U14" s="22">
        <f>SUM(U15)</f>
        <v>26.065530709606119</v>
      </c>
    </row>
    <row r="15" spans="1:21" ht="24" customHeight="1" x14ac:dyDescent="0.25">
      <c r="A15" s="41" t="s">
        <v>64</v>
      </c>
      <c r="B15" s="19" t="s">
        <v>32</v>
      </c>
      <c r="C15" s="101">
        <f>SUM(C16+C20+C24+C49+C58+C69)</f>
        <v>171700000000</v>
      </c>
      <c r="D15" s="102">
        <f>C15/$C$95*100</f>
        <v>99.90293356498556</v>
      </c>
      <c r="E15" s="103">
        <f>(53258574700)/$C$15*100</f>
        <v>31.018389458357596</v>
      </c>
      <c r="F15" s="103">
        <f>(53258574700+46137281883)/$C$15*100</f>
        <v>57.889258347699482</v>
      </c>
      <c r="G15" s="103">
        <f>(53258574700+46137281883+52270204734)/$C$15*100</f>
        <v>88.332010085614442</v>
      </c>
      <c r="H15" s="103">
        <f>(53258574700+46137281883+52270204734+20033938683)/$C$15*100</f>
        <v>100</v>
      </c>
      <c r="I15" s="61">
        <f>SUM(I16+I20+I24+I49+I58+I69)</f>
        <v>17323513695</v>
      </c>
      <c r="J15" s="61">
        <f>SUM(J16+J20+J24+J49+J58+J69)</f>
        <v>15165618979</v>
      </c>
      <c r="K15" s="61">
        <f>SUM(K16+K20+K24+K49+K58+K69)</f>
        <v>32489132674</v>
      </c>
      <c r="L15" s="103">
        <f>K15/C15*100</f>
        <v>18.922034172393708</v>
      </c>
      <c r="M15" s="103">
        <f>U15</f>
        <v>26.065530709606119</v>
      </c>
      <c r="N15" s="103">
        <f>L15*D15/100</f>
        <v>18.903667228390351</v>
      </c>
      <c r="O15" s="103">
        <f>M15*D15/100</f>
        <v>26.04022982817871</v>
      </c>
      <c r="P15" s="67" t="s">
        <v>100</v>
      </c>
      <c r="Q15" s="83"/>
      <c r="R15" s="25"/>
      <c r="S15" s="25"/>
      <c r="T15" s="3"/>
      <c r="U15" s="21">
        <f>SUM(U16+U20+U24+U49+U58+U69)</f>
        <v>26.065530709606119</v>
      </c>
    </row>
    <row r="16" spans="1:21" ht="21" customHeight="1" x14ac:dyDescent="0.25">
      <c r="A16" s="42"/>
      <c r="B16" s="20" t="s">
        <v>33</v>
      </c>
      <c r="C16" s="104">
        <f>SUM(C17:C18)</f>
        <v>430000000</v>
      </c>
      <c r="D16" s="105">
        <f>C16/$C$15*100</f>
        <v>0.25043680838672105</v>
      </c>
      <c r="E16" s="106">
        <f>(5000000)/C16*100</f>
        <v>1.1627906976744187</v>
      </c>
      <c r="F16" s="106">
        <f>(0+5000000)/C16*100</f>
        <v>1.1627906976744187</v>
      </c>
      <c r="G16" s="106">
        <f>(0+5000000+425000000)/C16*100</f>
        <v>100</v>
      </c>
      <c r="H16" s="106">
        <f>(0+5000000+425000000+0)/C16*100</f>
        <v>100</v>
      </c>
      <c r="I16" s="58">
        <f>SUM(I17:I18)</f>
        <v>0</v>
      </c>
      <c r="J16" s="58">
        <f>SUM(J17:J18)</f>
        <v>0</v>
      </c>
      <c r="K16" s="58">
        <f>I16+J16</f>
        <v>0</v>
      </c>
      <c r="L16" s="106">
        <f>K16/C16*100</f>
        <v>0</v>
      </c>
      <c r="M16" s="106">
        <f>S16</f>
        <v>0</v>
      </c>
      <c r="N16" s="106">
        <f>L16*D16/100</f>
        <v>0</v>
      </c>
      <c r="O16" s="106">
        <f>M16*D16/100</f>
        <v>0</v>
      </c>
      <c r="P16" s="68" t="s">
        <v>100</v>
      </c>
      <c r="Q16" s="83"/>
      <c r="R16" s="25"/>
      <c r="S16" s="116">
        <f>SUM(S17:S18)</f>
        <v>0</v>
      </c>
      <c r="T16" s="3">
        <f>C16/$C$10*100</f>
        <v>0.25019371830485609</v>
      </c>
      <c r="U16" s="4">
        <f>M16*T16/100</f>
        <v>0</v>
      </c>
    </row>
    <row r="17" spans="1:21" s="31" customFormat="1" ht="14.25" customHeight="1" x14ac:dyDescent="0.25">
      <c r="A17" s="45" t="s">
        <v>65</v>
      </c>
      <c r="B17" s="117" t="s">
        <v>34</v>
      </c>
      <c r="C17" s="118">
        <v>400000000</v>
      </c>
      <c r="D17" s="86">
        <f>C17/$C$16*100</f>
        <v>93.023255813953483</v>
      </c>
      <c r="E17" s="23">
        <f>(0)/$C$17*100</f>
        <v>0</v>
      </c>
      <c r="F17" s="23">
        <f>(0+0)/$C$17*100</f>
        <v>0</v>
      </c>
      <c r="G17" s="23">
        <f>(0+0+400000000)/$C$17*100</f>
        <v>100</v>
      </c>
      <c r="H17" s="23">
        <f>(0+0+400000000+0)/$C$17*100</f>
        <v>100</v>
      </c>
      <c r="I17" s="57">
        <v>0</v>
      </c>
      <c r="J17" s="57">
        <v>0</v>
      </c>
      <c r="K17" s="57">
        <f t="shared" ref="K17:K18" si="3">I17+J17</f>
        <v>0</v>
      </c>
      <c r="L17" s="23">
        <f t="shared" ref="L17" si="4">K17/C17*100</f>
        <v>0</v>
      </c>
      <c r="M17" s="90">
        <v>0</v>
      </c>
      <c r="N17" s="23">
        <f>L17*D17/100</f>
        <v>0</v>
      </c>
      <c r="O17" s="23">
        <f>M17*D17/100</f>
        <v>0</v>
      </c>
      <c r="P17" s="18"/>
      <c r="Q17" s="85"/>
      <c r="R17" s="25">
        <f>C17/$C$16*100</f>
        <v>93.023255813953483</v>
      </c>
      <c r="S17" s="26">
        <f>M17*R17/100</f>
        <v>0</v>
      </c>
      <c r="T17" s="25"/>
      <c r="U17" s="25"/>
    </row>
    <row r="18" spans="1:21" ht="15.75" customHeight="1" x14ac:dyDescent="0.25">
      <c r="A18" s="45" t="s">
        <v>66</v>
      </c>
      <c r="B18" s="117" t="s">
        <v>35</v>
      </c>
      <c r="C18" s="118">
        <v>30000000</v>
      </c>
      <c r="D18" s="86">
        <f>C18/$C$16*100</f>
        <v>6.9767441860465116</v>
      </c>
      <c r="E18" s="23">
        <f>(5000000)/$C$18*100</f>
        <v>16.666666666666664</v>
      </c>
      <c r="F18" s="23">
        <f>(5000000+0)/$C$18*100</f>
        <v>16.666666666666664</v>
      </c>
      <c r="G18" s="23">
        <f>(5000000+0+25000000)/$C$18*100</f>
        <v>100</v>
      </c>
      <c r="H18" s="23">
        <f>(5000000+0+25000000+0)/$C$18*100</f>
        <v>100</v>
      </c>
      <c r="I18" s="56">
        <v>0</v>
      </c>
      <c r="J18" s="57">
        <v>0</v>
      </c>
      <c r="K18" s="57">
        <f t="shared" si="3"/>
        <v>0</v>
      </c>
      <c r="L18" s="23">
        <v>0</v>
      </c>
      <c r="M18" s="90">
        <v>0</v>
      </c>
      <c r="N18" s="23">
        <f t="shared" ref="N18" si="5">L18*D18/100</f>
        <v>0</v>
      </c>
      <c r="O18" s="23">
        <f t="shared" ref="O18" si="6">M18*D18/100</f>
        <v>0</v>
      </c>
      <c r="P18" s="18"/>
      <c r="Q18" s="85"/>
      <c r="R18" s="25">
        <f>C18/$C$16*100</f>
        <v>6.9767441860465116</v>
      </c>
      <c r="S18" s="26">
        <f>M18*R18/100</f>
        <v>0</v>
      </c>
      <c r="T18" s="3"/>
      <c r="U18" s="3"/>
    </row>
    <row r="19" spans="1:21" x14ac:dyDescent="0.25">
      <c r="A19" s="43"/>
      <c r="B19" s="18"/>
      <c r="C19" s="52"/>
      <c r="D19" s="86"/>
      <c r="E19" s="23"/>
      <c r="F19" s="23"/>
      <c r="G19" s="23"/>
      <c r="H19" s="23"/>
      <c r="I19" s="56"/>
      <c r="J19" s="57"/>
      <c r="K19" s="57"/>
      <c r="L19" s="23"/>
      <c r="M19" s="90"/>
      <c r="N19" s="23"/>
      <c r="O19" s="23"/>
      <c r="P19" s="18"/>
      <c r="Q19" s="85"/>
      <c r="R19" s="25"/>
      <c r="S19" s="26"/>
      <c r="T19" s="3"/>
      <c r="U19" s="3"/>
    </row>
    <row r="20" spans="1:21" ht="18" customHeight="1" x14ac:dyDescent="0.25">
      <c r="A20" s="42"/>
      <c r="B20" s="20" t="s">
        <v>57</v>
      </c>
      <c r="C20" s="104">
        <f>SUM(C21:C22)</f>
        <v>5050000000</v>
      </c>
      <c r="D20" s="105">
        <f>C20/$C$15*100</f>
        <v>2.9411764705882351</v>
      </c>
      <c r="E20" s="106">
        <f>(1440685000)/$C$20*100</f>
        <v>28.52841584158416</v>
      </c>
      <c r="F20" s="106">
        <f>(1440685000+1234677000)/$C$20*100</f>
        <v>52.977465346534657</v>
      </c>
      <c r="G20" s="106">
        <f>(1440685000+1234677000+1369836000)/$C$20*100</f>
        <v>80.102930693069311</v>
      </c>
      <c r="H20" s="106">
        <f>(1440685000+1234677000+1369836000+1004802000)/$C$20*100</f>
        <v>100</v>
      </c>
      <c r="I20" s="58">
        <f>SUM(I21:I22)</f>
        <v>0</v>
      </c>
      <c r="J20" s="58">
        <f t="shared" ref="J20:K20" si="7">SUM(J21:J22)</f>
        <v>181881800</v>
      </c>
      <c r="K20" s="58">
        <f t="shared" si="7"/>
        <v>181881800</v>
      </c>
      <c r="L20" s="106">
        <f>K20/C20*100</f>
        <v>3.6016198019801977</v>
      </c>
      <c r="M20" s="107">
        <f>S20</f>
        <v>22.595766336633666</v>
      </c>
      <c r="N20" s="106">
        <f>L20*D20/100</f>
        <v>0.10592999417588816</v>
      </c>
      <c r="O20" s="106">
        <f>M20*D20/100</f>
        <v>0.66458136284216662</v>
      </c>
      <c r="P20" s="68" t="s">
        <v>100</v>
      </c>
      <c r="Q20" s="83"/>
      <c r="R20" s="25"/>
      <c r="S20" s="116">
        <f>SUM(S21:S22)</f>
        <v>22.595766336633666</v>
      </c>
      <c r="T20" s="3">
        <f>C20/$C$10*100</f>
        <v>2.9383215754407521</v>
      </c>
      <c r="U20" s="4">
        <f>M20*T20/100</f>
        <v>0.66393627740548555</v>
      </c>
    </row>
    <row r="21" spans="1:21" ht="15.75" customHeight="1" x14ac:dyDescent="0.25">
      <c r="A21" s="45" t="s">
        <v>67</v>
      </c>
      <c r="B21" s="119" t="s">
        <v>58</v>
      </c>
      <c r="C21" s="118">
        <v>2336000000</v>
      </c>
      <c r="D21" s="86">
        <f>C21/$C$20*100</f>
        <v>46.257425742574263</v>
      </c>
      <c r="E21" s="23">
        <f>(641426000)/$C$21*100</f>
        <v>27.458304794520551</v>
      </c>
      <c r="F21" s="23">
        <f>(641426000+651426000)/$C$21*100</f>
        <v>55.344691780821918</v>
      </c>
      <c r="G21" s="23">
        <f>(641426000+651426000+625036000)/$C$21*100</f>
        <v>82.101369863013701</v>
      </c>
      <c r="H21" s="23">
        <f>(641426000+651426000+625036000+418112000)/$C$21*100</f>
        <v>100</v>
      </c>
      <c r="I21" s="57">
        <v>0</v>
      </c>
      <c r="J21" s="57">
        <v>178941800</v>
      </c>
      <c r="K21" s="57">
        <f t="shared" ref="K21:K22" si="8">I21+J21</f>
        <v>178941800</v>
      </c>
      <c r="L21" s="23">
        <f t="shared" ref="L21:L22" si="9">K21/C21*100</f>
        <v>7.6601797945205483</v>
      </c>
      <c r="M21" s="90">
        <v>20</v>
      </c>
      <c r="N21" s="23">
        <f>L21*D21/100</f>
        <v>3.5434019801980203</v>
      </c>
      <c r="O21" s="23">
        <f>M21*D21/100</f>
        <v>9.2514851485148526</v>
      </c>
      <c r="P21" s="18"/>
      <c r="Q21" s="85"/>
      <c r="R21" s="25">
        <f>C21/$C$20*100</f>
        <v>46.257425742574263</v>
      </c>
      <c r="S21" s="26">
        <f>M21*R21/100</f>
        <v>9.2514851485148526</v>
      </c>
      <c r="T21" s="3"/>
      <c r="U21" s="3"/>
    </row>
    <row r="22" spans="1:21" ht="18" customHeight="1" x14ac:dyDescent="0.25">
      <c r="A22" s="45" t="s">
        <v>68</v>
      </c>
      <c r="B22" s="117" t="s">
        <v>59</v>
      </c>
      <c r="C22" s="118">
        <v>2714000000</v>
      </c>
      <c r="D22" s="86">
        <f>C22/$C$20*100</f>
        <v>53.742574257425744</v>
      </c>
      <c r="E22" s="23">
        <f>(799259000)/$C$22*100</f>
        <v>29.449484156226973</v>
      </c>
      <c r="F22" s="23">
        <f>(799259000+583251000)/$C$22*100</f>
        <v>50.939941046425943</v>
      </c>
      <c r="G22" s="23">
        <f>(799259000+583251000+744800000)/$C$22*100</f>
        <v>78.382829771554896</v>
      </c>
      <c r="H22" s="23">
        <f>(799259000+583251000+744800000+586690000)/$C$22*100</f>
        <v>100</v>
      </c>
      <c r="I22" s="57">
        <v>0</v>
      </c>
      <c r="J22" s="57">
        <v>2940000</v>
      </c>
      <c r="K22" s="57">
        <f t="shared" si="8"/>
        <v>2940000</v>
      </c>
      <c r="L22" s="23">
        <f t="shared" si="9"/>
        <v>0.10832719233603537</v>
      </c>
      <c r="M22" s="90">
        <v>24.83</v>
      </c>
      <c r="N22" s="23">
        <f t="shared" ref="N22" si="10">L22*D22/100</f>
        <v>5.8217821782178214E-2</v>
      </c>
      <c r="O22" s="23">
        <f t="shared" ref="O22" si="11">M22*D22/100</f>
        <v>13.344281188118812</v>
      </c>
      <c r="P22" s="18"/>
      <c r="Q22" s="85"/>
      <c r="R22" s="25">
        <f>C22/$C$20*100</f>
        <v>53.742574257425744</v>
      </c>
      <c r="S22" s="26">
        <f>M22*R22/100</f>
        <v>13.344281188118812</v>
      </c>
      <c r="T22" s="3"/>
      <c r="U22" s="3"/>
    </row>
    <row r="23" spans="1:21" ht="12" customHeight="1" x14ac:dyDescent="0.25">
      <c r="A23" s="43"/>
      <c r="B23" s="18"/>
      <c r="C23" s="23"/>
      <c r="D23" s="86"/>
      <c r="E23" s="23"/>
      <c r="F23" s="23"/>
      <c r="G23" s="23"/>
      <c r="H23" s="23"/>
      <c r="I23" s="62"/>
      <c r="J23" s="63"/>
      <c r="K23" s="63"/>
      <c r="L23" s="23"/>
      <c r="M23" s="23"/>
      <c r="N23" s="23"/>
      <c r="O23" s="23"/>
      <c r="P23" s="18"/>
      <c r="Q23" s="85"/>
      <c r="R23" s="25"/>
      <c r="S23" s="25"/>
      <c r="T23" s="3"/>
      <c r="U23" s="3"/>
    </row>
    <row r="24" spans="1:21" ht="18" customHeight="1" x14ac:dyDescent="0.25">
      <c r="A24" s="42"/>
      <c r="B24" s="20" t="s">
        <v>36</v>
      </c>
      <c r="C24" s="104">
        <f>SUM(C25:C47)</f>
        <v>42020000000</v>
      </c>
      <c r="D24" s="105">
        <f>C24/$C$15*100</f>
        <v>24.472917880023296</v>
      </c>
      <c r="E24" s="106">
        <f>(11117170000)/C24*100</f>
        <v>26.456853879105186</v>
      </c>
      <c r="F24" s="106">
        <f>(11117170000+12475609000)/C24*100</f>
        <v>56.14654688243693</v>
      </c>
      <c r="G24" s="106">
        <f>(11117170000+12475609000+14958395000)/C24*100</f>
        <v>91.744821513564972</v>
      </c>
      <c r="H24" s="106">
        <f>(11117170000+12475609000+14958395000+3468826000)/C24*100</f>
        <v>100</v>
      </c>
      <c r="I24" s="58">
        <f>SUM(I25:I47)</f>
        <v>0</v>
      </c>
      <c r="J24" s="58">
        <f>SUM(J25:J47)</f>
        <v>3748144346</v>
      </c>
      <c r="K24" s="58">
        <f>SUM(K25:K47)</f>
        <v>3748144346</v>
      </c>
      <c r="L24" s="106">
        <f>K24/C24*100</f>
        <v>8.919905630652071</v>
      </c>
      <c r="M24" s="106">
        <f>S24</f>
        <v>24.423938957639223</v>
      </c>
      <c r="N24" s="106">
        <f>L24*D24/100</f>
        <v>2.1829611799650555</v>
      </c>
      <c r="O24" s="106">
        <f>M24*D24/100</f>
        <v>5.9772505241700653</v>
      </c>
      <c r="P24" s="68" t="s">
        <v>100</v>
      </c>
      <c r="Q24" s="83"/>
      <c r="R24" s="25"/>
      <c r="S24" s="116">
        <f>SUM(S25:S47)</f>
        <v>24.423938957639223</v>
      </c>
      <c r="T24" s="3">
        <f>C24/$C$10*100</f>
        <v>24.449162891093149</v>
      </c>
      <c r="U24" s="3">
        <f>M24*T24/100</f>
        <v>5.9714486201743719</v>
      </c>
    </row>
    <row r="25" spans="1:21" s="3" customFormat="1" ht="18.75" customHeight="1" x14ac:dyDescent="0.25">
      <c r="A25" s="45" t="s">
        <v>106</v>
      </c>
      <c r="B25" s="117" t="s">
        <v>107</v>
      </c>
      <c r="C25" s="120">
        <v>10500000000</v>
      </c>
      <c r="D25" s="86">
        <f>C25/$C$24*100</f>
        <v>24.988100904331269</v>
      </c>
      <c r="E25" s="23">
        <f>(4000000000)/$C$25*100</f>
        <v>38.095238095238095</v>
      </c>
      <c r="F25" s="23">
        <f>(4000000000+4000000000)/$C$25*100</f>
        <v>76.19047619047619</v>
      </c>
      <c r="G25" s="23">
        <f>(4000000000+4000000000+2480080000)/$C$25*100</f>
        <v>99.810285714285712</v>
      </c>
      <c r="H25" s="23">
        <f>(4000000000+4000000000+2480080000+19920000)/$C$25*100</f>
        <v>100</v>
      </c>
      <c r="I25" s="56">
        <v>0</v>
      </c>
      <c r="J25" s="56">
        <v>348101573</v>
      </c>
      <c r="K25" s="57">
        <f t="shared" ref="K25:K47" si="12">I25+J25</f>
        <v>348101573</v>
      </c>
      <c r="L25" s="23">
        <f t="shared" ref="L25:L47" si="13">K25/C25*100</f>
        <v>3.3152530761904759</v>
      </c>
      <c r="M25" s="90">
        <v>21</v>
      </c>
      <c r="N25" s="23">
        <f>L25*D25/100</f>
        <v>0.82841878391242252</v>
      </c>
      <c r="O25" s="23">
        <f t="shared" ref="O25:O47" si="14">M25*D25/100</f>
        <v>5.247501189909566</v>
      </c>
      <c r="P25" s="18"/>
      <c r="Q25" s="85"/>
      <c r="R25" s="25">
        <f t="shared" ref="R25:R35" si="15">C25/$C$24*100</f>
        <v>24.988100904331269</v>
      </c>
      <c r="S25" s="25">
        <f>M25*R25/100</f>
        <v>5.247501189909566</v>
      </c>
    </row>
    <row r="26" spans="1:21" s="3" customFormat="1" ht="18.75" customHeight="1" x14ac:dyDescent="0.25">
      <c r="A26" s="45" t="s">
        <v>108</v>
      </c>
      <c r="B26" s="121" t="s">
        <v>109</v>
      </c>
      <c r="C26" s="118">
        <v>7000000000</v>
      </c>
      <c r="D26" s="86">
        <f t="shared" ref="D26:D47" si="16">C26/$C$24*100</f>
        <v>16.658733936220845</v>
      </c>
      <c r="E26" s="23">
        <f>(2000000000)/$C$26*100</f>
        <v>28.571428571428569</v>
      </c>
      <c r="F26" s="23">
        <f>(2000000000+2500000000)/$C$26*100</f>
        <v>64.285714285714292</v>
      </c>
      <c r="G26" s="23">
        <f>(2000000000+2500000000+2490700000)/$C$26*100</f>
        <v>99.867142857142852</v>
      </c>
      <c r="H26" s="23">
        <f>(2000000000+2500000000+2490700000+9300000)/$C$26*100</f>
        <v>100</v>
      </c>
      <c r="I26" s="56">
        <v>0</v>
      </c>
      <c r="J26" s="56">
        <f>784703565+92769188</f>
        <v>877472753</v>
      </c>
      <c r="K26" s="57">
        <f t="shared" si="12"/>
        <v>877472753</v>
      </c>
      <c r="L26" s="23">
        <f t="shared" si="13"/>
        <v>12.535325042857142</v>
      </c>
      <c r="M26" s="90">
        <v>30</v>
      </c>
      <c r="N26" s="23">
        <f t="shared" ref="N26:N47" si="17">L26*D26/100</f>
        <v>2.0882264469300331</v>
      </c>
      <c r="O26" s="23">
        <f t="shared" si="14"/>
        <v>4.997620180866253</v>
      </c>
      <c r="P26" s="18"/>
      <c r="Q26" s="85"/>
      <c r="R26" s="25">
        <f t="shared" si="15"/>
        <v>16.658733936220845</v>
      </c>
      <c r="S26" s="25">
        <f t="shared" ref="S26" si="18">M26*R26/100</f>
        <v>4.997620180866253</v>
      </c>
    </row>
    <row r="27" spans="1:21" s="3" customFormat="1" ht="18.75" customHeight="1" x14ac:dyDescent="0.25">
      <c r="A27" s="45" t="s">
        <v>110</v>
      </c>
      <c r="B27" s="121" t="s">
        <v>111</v>
      </c>
      <c r="C27" s="118">
        <v>500000000</v>
      </c>
      <c r="D27" s="86">
        <f t="shared" si="16"/>
        <v>1.1899095668729176</v>
      </c>
      <c r="E27" s="23">
        <f>(100000000)/$C$27*100</f>
        <v>20</v>
      </c>
      <c r="F27" s="23">
        <f>(100000000+125000000)/$C$27*100</f>
        <v>45</v>
      </c>
      <c r="G27" s="23">
        <f>(100000000+125000000+268103000)/$C$27*100</f>
        <v>98.620599999999996</v>
      </c>
      <c r="H27" s="23">
        <f>(100000000+125000000+268103000+6897000)/$C$27*100</f>
        <v>100</v>
      </c>
      <c r="I27" s="56">
        <v>0</v>
      </c>
      <c r="J27" s="56">
        <v>0</v>
      </c>
      <c r="K27" s="57">
        <f t="shared" si="12"/>
        <v>0</v>
      </c>
      <c r="L27" s="23">
        <f t="shared" si="13"/>
        <v>0</v>
      </c>
      <c r="M27" s="90">
        <v>10</v>
      </c>
      <c r="N27" s="23">
        <f t="shared" si="17"/>
        <v>0</v>
      </c>
      <c r="O27" s="23">
        <f t="shared" si="14"/>
        <v>0.11899095668729176</v>
      </c>
      <c r="P27" s="18"/>
      <c r="Q27" s="112"/>
      <c r="R27" s="25">
        <f t="shared" si="15"/>
        <v>1.1899095668729176</v>
      </c>
      <c r="S27" s="25">
        <f>M27*R27/100</f>
        <v>0.11899095668729176</v>
      </c>
    </row>
    <row r="28" spans="1:21" s="3" customFormat="1" ht="18.75" customHeight="1" x14ac:dyDescent="0.25">
      <c r="A28" s="45" t="s">
        <v>112</v>
      </c>
      <c r="B28" s="122" t="s">
        <v>113</v>
      </c>
      <c r="C28" s="118">
        <v>4500000000</v>
      </c>
      <c r="D28" s="86">
        <f t="shared" si="16"/>
        <v>10.709186101856259</v>
      </c>
      <c r="E28" s="23">
        <f>(1500000000)/$C$28*100</f>
        <v>33.333333333333329</v>
      </c>
      <c r="F28" s="23">
        <f>(1500000000+1500000000)/$C$28*100</f>
        <v>66.666666666666657</v>
      </c>
      <c r="G28" s="23">
        <f>(1500000000+1500000000+1480677000)/$C$28*100</f>
        <v>99.570599999999999</v>
      </c>
      <c r="H28" s="23">
        <f>(1500000000+1500000000+1480677000+19323000)/$C$28*100</f>
        <v>100</v>
      </c>
      <c r="I28" s="56">
        <v>0</v>
      </c>
      <c r="J28" s="56">
        <f>921356154+173612896</f>
        <v>1094969050</v>
      </c>
      <c r="K28" s="57">
        <f t="shared" si="12"/>
        <v>1094969050</v>
      </c>
      <c r="L28" s="23">
        <f t="shared" si="13"/>
        <v>24.332645555555555</v>
      </c>
      <c r="M28" s="90">
        <v>30</v>
      </c>
      <c r="N28" s="23">
        <f t="shared" si="17"/>
        <v>2.6058282960495003</v>
      </c>
      <c r="O28" s="23">
        <f t="shared" si="14"/>
        <v>3.212755830556878</v>
      </c>
      <c r="P28" s="18"/>
      <c r="Q28" s="85"/>
      <c r="R28" s="25">
        <f t="shared" si="15"/>
        <v>10.709186101856259</v>
      </c>
      <c r="S28" s="25">
        <f t="shared" ref="S28" si="19">M28*R28/100</f>
        <v>3.212755830556878</v>
      </c>
    </row>
    <row r="29" spans="1:21" s="3" customFormat="1" ht="18.75" customHeight="1" x14ac:dyDescent="0.25">
      <c r="A29" s="45" t="s">
        <v>114</v>
      </c>
      <c r="B29" s="123" t="s">
        <v>115</v>
      </c>
      <c r="C29" s="118">
        <v>4000000000</v>
      </c>
      <c r="D29" s="86">
        <f t="shared" si="16"/>
        <v>9.5192765349833408</v>
      </c>
      <c r="E29" s="23">
        <f>(1000000000)/C29*100</f>
        <v>25</v>
      </c>
      <c r="F29" s="23">
        <f>(1000000000+1500000000)/C29*100</f>
        <v>62.5</v>
      </c>
      <c r="G29" s="23">
        <f>(1000000000+1500000000+1494800000)/C29*100</f>
        <v>99.87</v>
      </c>
      <c r="H29" s="23">
        <f>(1000000000+1500000000+1494800000+5200000)/C29*100</f>
        <v>100</v>
      </c>
      <c r="I29" s="56">
        <v>0</v>
      </c>
      <c r="J29" s="56">
        <v>460290000</v>
      </c>
      <c r="K29" s="57">
        <f t="shared" si="12"/>
        <v>460290000</v>
      </c>
      <c r="L29" s="23">
        <f t="shared" si="13"/>
        <v>11.507249999999999</v>
      </c>
      <c r="M29" s="90">
        <v>25</v>
      </c>
      <c r="N29" s="23">
        <f t="shared" si="17"/>
        <v>1.0954069490718705</v>
      </c>
      <c r="O29" s="23">
        <f t="shared" si="14"/>
        <v>2.3798191337458352</v>
      </c>
      <c r="P29" s="18"/>
      <c r="Q29" s="85"/>
      <c r="R29" s="25">
        <f t="shared" si="15"/>
        <v>9.5192765349833408</v>
      </c>
      <c r="S29" s="25">
        <f>M29*R29/100</f>
        <v>2.3798191337458352</v>
      </c>
    </row>
    <row r="30" spans="1:21" s="3" customFormat="1" ht="18.75" customHeight="1" x14ac:dyDescent="0.25">
      <c r="A30" s="45" t="s">
        <v>116</v>
      </c>
      <c r="B30" s="123" t="s">
        <v>117</v>
      </c>
      <c r="C30" s="118">
        <v>900000000</v>
      </c>
      <c r="D30" s="86">
        <f t="shared" si="16"/>
        <v>2.1418372203712517</v>
      </c>
      <c r="E30" s="23">
        <f>(70000000)/$C$30*100</f>
        <v>7.7777777777777777</v>
      </c>
      <c r="F30" s="23">
        <f>(70000000+270000000)/$C$30*100</f>
        <v>37.777777777777779</v>
      </c>
      <c r="G30" s="23">
        <f>(70000000+270000000+300000000)/$C$30*100</f>
        <v>71.111111111111114</v>
      </c>
      <c r="H30" s="23">
        <f>(70000000+270000000+300000000+260000000)/$C$30*100</f>
        <v>100</v>
      </c>
      <c r="I30" s="56">
        <v>0</v>
      </c>
      <c r="J30" s="56">
        <f>166666500+55234000</f>
        <v>221900500</v>
      </c>
      <c r="K30" s="57">
        <f t="shared" si="12"/>
        <v>221900500</v>
      </c>
      <c r="L30" s="23">
        <f t="shared" si="13"/>
        <v>24.65561111111111</v>
      </c>
      <c r="M30" s="90">
        <v>25</v>
      </c>
      <c r="N30" s="23">
        <f t="shared" si="17"/>
        <v>0.5280830556877677</v>
      </c>
      <c r="O30" s="23">
        <f t="shared" si="14"/>
        <v>0.53545930509281292</v>
      </c>
      <c r="P30" s="18"/>
      <c r="Q30" s="85"/>
      <c r="R30" s="25">
        <f t="shared" si="15"/>
        <v>2.1418372203712517</v>
      </c>
      <c r="S30" s="25">
        <f t="shared" ref="S30" si="20">M30*R30/100</f>
        <v>0.53545930509281292</v>
      </c>
    </row>
    <row r="31" spans="1:21" s="3" customFormat="1" ht="18.75" customHeight="1" x14ac:dyDescent="0.25">
      <c r="A31" s="46" t="s">
        <v>118</v>
      </c>
      <c r="B31" s="124" t="s">
        <v>119</v>
      </c>
      <c r="C31" s="118">
        <v>2500000000</v>
      </c>
      <c r="D31" s="86">
        <f t="shared" si="16"/>
        <v>5.949547834364588</v>
      </c>
      <c r="E31" s="23">
        <f>(600000000)/$C$31*100</f>
        <v>24</v>
      </c>
      <c r="F31" s="23">
        <f>(600000000+500000000)/$C$31*100</f>
        <v>44</v>
      </c>
      <c r="G31" s="23">
        <f>(600000000+500000000+750000000)/$C$31*100</f>
        <v>74</v>
      </c>
      <c r="H31" s="23">
        <f>(600000000+500000000+750000000+650000000)/$C$31*100</f>
        <v>100</v>
      </c>
      <c r="I31" s="56">
        <v>0</v>
      </c>
      <c r="J31" s="56">
        <v>256256000</v>
      </c>
      <c r="K31" s="57">
        <f t="shared" si="12"/>
        <v>256256000</v>
      </c>
      <c r="L31" s="23">
        <f t="shared" si="13"/>
        <v>10.25024</v>
      </c>
      <c r="M31" s="90">
        <v>25</v>
      </c>
      <c r="N31" s="23">
        <f t="shared" si="17"/>
        <v>0.60984293193717276</v>
      </c>
      <c r="O31" s="23">
        <f t="shared" si="14"/>
        <v>1.487386958591147</v>
      </c>
      <c r="P31" s="18"/>
      <c r="Q31" s="85"/>
      <c r="R31" s="25">
        <f t="shared" si="15"/>
        <v>5.949547834364588</v>
      </c>
      <c r="S31" s="25">
        <f>M31*R31/100</f>
        <v>1.487386958591147</v>
      </c>
    </row>
    <row r="32" spans="1:21" s="3" customFormat="1" ht="18.75" customHeight="1" x14ac:dyDescent="0.25">
      <c r="A32" s="46" t="s">
        <v>120</v>
      </c>
      <c r="B32" s="124" t="s">
        <v>121</v>
      </c>
      <c r="C32" s="118">
        <v>45000000</v>
      </c>
      <c r="D32" s="86">
        <f t="shared" si="16"/>
        <v>0.10709186101856259</v>
      </c>
      <c r="E32" s="23">
        <f>(42160000)/$C$32*100</f>
        <v>93.688888888888883</v>
      </c>
      <c r="F32" s="23">
        <f>(42160000+2840000)/$C$32*100</f>
        <v>100</v>
      </c>
      <c r="G32" s="23">
        <f>(42160000+2840000)/$C$32*100</f>
        <v>100</v>
      </c>
      <c r="H32" s="23">
        <f>(42160000+2840000)/$C$32*100</f>
        <v>100</v>
      </c>
      <c r="I32" s="56">
        <v>0</v>
      </c>
      <c r="J32" s="56">
        <v>0</v>
      </c>
      <c r="K32" s="57">
        <f t="shared" si="12"/>
        <v>0</v>
      </c>
      <c r="L32" s="23">
        <f t="shared" si="13"/>
        <v>0</v>
      </c>
      <c r="M32" s="90">
        <v>15</v>
      </c>
      <c r="N32" s="23">
        <f t="shared" si="17"/>
        <v>0</v>
      </c>
      <c r="O32" s="23">
        <f t="shared" si="14"/>
        <v>1.606377915278439E-2</v>
      </c>
      <c r="P32" s="18"/>
      <c r="Q32" s="85"/>
      <c r="R32" s="25">
        <f t="shared" si="15"/>
        <v>0.10709186101856259</v>
      </c>
      <c r="S32" s="25">
        <f t="shared" ref="S32" si="21">M32*R32/100</f>
        <v>1.606377915278439E-2</v>
      </c>
    </row>
    <row r="33" spans="1:21" s="3" customFormat="1" ht="17.25" customHeight="1" x14ac:dyDescent="0.25">
      <c r="A33" s="46" t="s">
        <v>122</v>
      </c>
      <c r="B33" s="124" t="s">
        <v>123</v>
      </c>
      <c r="C33" s="125">
        <v>500000000</v>
      </c>
      <c r="D33" s="86">
        <f t="shared" si="16"/>
        <v>1.1899095668729176</v>
      </c>
      <c r="E33" s="23">
        <f>(0)/$C$33*100</f>
        <v>0</v>
      </c>
      <c r="F33" s="23">
        <f>(0+150000000)/$C$33*100</f>
        <v>30</v>
      </c>
      <c r="G33" s="23">
        <f>(0+150000000+170000000)/$C$33*100</f>
        <v>64</v>
      </c>
      <c r="H33" s="23">
        <f>(0+150000000+170000000+180000000)/$C$33*100</f>
        <v>100</v>
      </c>
      <c r="I33" s="56">
        <v>0</v>
      </c>
      <c r="J33" s="56">
        <v>0</v>
      </c>
      <c r="K33" s="57">
        <f t="shared" si="12"/>
        <v>0</v>
      </c>
      <c r="L33" s="23">
        <f t="shared" si="13"/>
        <v>0</v>
      </c>
      <c r="M33" s="90">
        <v>25</v>
      </c>
      <c r="N33" s="23">
        <f t="shared" si="17"/>
        <v>0</v>
      </c>
      <c r="O33" s="23">
        <f t="shared" si="14"/>
        <v>0.2974773917182294</v>
      </c>
      <c r="P33" s="18"/>
      <c r="Q33" s="85"/>
      <c r="R33" s="25">
        <f t="shared" si="15"/>
        <v>1.1899095668729176</v>
      </c>
      <c r="S33" s="25">
        <f>M33*R33/100</f>
        <v>0.2974773917182294</v>
      </c>
    </row>
    <row r="34" spans="1:21" s="3" customFormat="1" ht="17.25" customHeight="1" x14ac:dyDescent="0.25">
      <c r="A34" s="39" t="s">
        <v>124</v>
      </c>
      <c r="B34" s="123" t="s">
        <v>125</v>
      </c>
      <c r="C34" s="125">
        <v>3520000</v>
      </c>
      <c r="D34" s="86">
        <f t="shared" si="16"/>
        <v>8.3769633507853394E-3</v>
      </c>
      <c r="E34" s="23">
        <f>(0)/$C$34*100</f>
        <v>0</v>
      </c>
      <c r="F34" s="23">
        <f>(0+3520000)/$C$34*100</f>
        <v>100</v>
      </c>
      <c r="G34" s="23">
        <f>(0+3520000+0)/C34*100</f>
        <v>100</v>
      </c>
      <c r="H34" s="23">
        <f>(0+3520000+0+0)/C34*100</f>
        <v>100</v>
      </c>
      <c r="I34" s="56">
        <v>0</v>
      </c>
      <c r="J34" s="56">
        <v>0</v>
      </c>
      <c r="K34" s="57">
        <f t="shared" si="12"/>
        <v>0</v>
      </c>
      <c r="L34" s="23">
        <f t="shared" si="13"/>
        <v>0</v>
      </c>
      <c r="M34" s="90">
        <v>0</v>
      </c>
      <c r="N34" s="23">
        <f t="shared" si="17"/>
        <v>0</v>
      </c>
      <c r="O34" s="23">
        <f t="shared" si="14"/>
        <v>0</v>
      </c>
      <c r="P34" s="18"/>
      <c r="Q34" s="85"/>
      <c r="R34" s="25">
        <f t="shared" si="15"/>
        <v>8.3769633507853394E-3</v>
      </c>
      <c r="S34" s="25">
        <f t="shared" ref="S34" si="22">M34*R34/100</f>
        <v>0</v>
      </c>
    </row>
    <row r="35" spans="1:21" s="3" customFormat="1" ht="21.75" customHeight="1" x14ac:dyDescent="0.25">
      <c r="A35" s="46" t="s">
        <v>126</v>
      </c>
      <c r="B35" s="133" t="s">
        <v>127</v>
      </c>
      <c r="C35" s="125">
        <v>500000000</v>
      </c>
      <c r="D35" s="86">
        <f t="shared" si="16"/>
        <v>1.1899095668729176</v>
      </c>
      <c r="E35" s="23">
        <f>(0)/$C$35*100</f>
        <v>0</v>
      </c>
      <c r="F35" s="23">
        <f>(0+125000000)/$C$35*100</f>
        <v>25</v>
      </c>
      <c r="G35" s="23">
        <f>(0+125000000+175000000)/$C$35*100</f>
        <v>60</v>
      </c>
      <c r="H35" s="23">
        <f>(0+125000000+175000000+200000000)/$C$35*100</f>
        <v>100</v>
      </c>
      <c r="I35" s="56">
        <v>0</v>
      </c>
      <c r="J35" s="56">
        <v>0</v>
      </c>
      <c r="K35" s="57">
        <f t="shared" si="12"/>
        <v>0</v>
      </c>
      <c r="L35" s="23">
        <f t="shared" si="13"/>
        <v>0</v>
      </c>
      <c r="M35" s="90">
        <v>15</v>
      </c>
      <c r="N35" s="23">
        <f t="shared" si="17"/>
        <v>0</v>
      </c>
      <c r="O35" s="23">
        <f t="shared" si="14"/>
        <v>0.17848643503093764</v>
      </c>
      <c r="P35" s="18"/>
      <c r="Q35" s="85"/>
      <c r="R35" s="25">
        <f t="shared" si="15"/>
        <v>1.1899095668729176</v>
      </c>
      <c r="S35" s="25">
        <f>M35*R35/100</f>
        <v>0.17848643503093764</v>
      </c>
    </row>
    <row r="36" spans="1:21" s="3" customFormat="1" ht="19.5" customHeight="1" x14ac:dyDescent="0.25">
      <c r="A36" s="46" t="s">
        <v>128</v>
      </c>
      <c r="B36" s="124" t="s">
        <v>130</v>
      </c>
      <c r="C36" s="125">
        <v>300000000</v>
      </c>
      <c r="D36" s="86">
        <f t="shared" si="16"/>
        <v>0.71394574012375056</v>
      </c>
      <c r="E36" s="23">
        <f>(100000000)/$C$36*100</f>
        <v>33.333333333333329</v>
      </c>
      <c r="F36" s="23">
        <f>(100000000+100000000)/$C$36*100</f>
        <v>66.666666666666657</v>
      </c>
      <c r="G36" s="23">
        <f>(100000000+100000000+100000000)/$C$36*100</f>
        <v>100</v>
      </c>
      <c r="H36" s="23">
        <f>(100000000+100000000+100000000+0)/$C$36*100</f>
        <v>100</v>
      </c>
      <c r="I36" s="56">
        <v>0</v>
      </c>
      <c r="J36" s="56">
        <v>0</v>
      </c>
      <c r="K36" s="57">
        <f t="shared" si="12"/>
        <v>0</v>
      </c>
      <c r="L36" s="23">
        <v>0</v>
      </c>
      <c r="M36" s="90">
        <v>15</v>
      </c>
      <c r="N36" s="23">
        <f t="shared" si="17"/>
        <v>0</v>
      </c>
      <c r="O36" s="23">
        <f t="shared" si="14"/>
        <v>0.10709186101856258</v>
      </c>
      <c r="P36" s="18"/>
      <c r="Q36" s="85"/>
      <c r="R36" s="25">
        <f>C36/$C$24*100</f>
        <v>0.71394574012375056</v>
      </c>
      <c r="S36" s="25">
        <f t="shared" ref="S36" si="23">M36*R36/100</f>
        <v>0.10709186101856258</v>
      </c>
    </row>
    <row r="37" spans="1:21" s="3" customFormat="1" ht="18.75" customHeight="1" x14ac:dyDescent="0.25">
      <c r="A37" s="46" t="s">
        <v>129</v>
      </c>
      <c r="B37" s="124" t="s">
        <v>132</v>
      </c>
      <c r="C37" s="125">
        <v>1200000000</v>
      </c>
      <c r="D37" s="86">
        <f t="shared" si="16"/>
        <v>2.8557829604950022</v>
      </c>
      <c r="E37" s="23">
        <f>(285000000)/$C$37*100</f>
        <v>23.75</v>
      </c>
      <c r="F37" s="23">
        <f>(285000000+375000000)/$C$37*100</f>
        <v>55.000000000000007</v>
      </c>
      <c r="G37" s="23">
        <f>(285000000+375000000+293835000)/$C$37*100</f>
        <v>79.486249999999998</v>
      </c>
      <c r="H37" s="23">
        <f>(285000000+375000000+293835000+246165000)/$C$37*100</f>
        <v>100</v>
      </c>
      <c r="I37" s="56">
        <v>0</v>
      </c>
      <c r="J37" s="56">
        <f>59441100+31698000</f>
        <v>91139100</v>
      </c>
      <c r="K37" s="57">
        <f t="shared" si="12"/>
        <v>91139100</v>
      </c>
      <c r="L37" s="23">
        <f t="shared" si="13"/>
        <v>7.5949249999999999</v>
      </c>
      <c r="M37" s="90">
        <v>25</v>
      </c>
      <c r="N37" s="23">
        <f t="shared" si="17"/>
        <v>0.21689457401237505</v>
      </c>
      <c r="O37" s="23">
        <f t="shared" si="14"/>
        <v>0.71394574012375056</v>
      </c>
      <c r="P37" s="18"/>
      <c r="Q37" s="85"/>
      <c r="R37" s="25">
        <f t="shared" ref="R37:R47" si="24">C37/$C$24*100</f>
        <v>2.8557829604950022</v>
      </c>
      <c r="S37" s="25">
        <f>M37*R37/100</f>
        <v>0.71394574012375056</v>
      </c>
    </row>
    <row r="38" spans="1:21" s="3" customFormat="1" ht="17.25" customHeight="1" x14ac:dyDescent="0.25">
      <c r="A38" s="46" t="s">
        <v>131</v>
      </c>
      <c r="B38" s="124" t="s">
        <v>134</v>
      </c>
      <c r="C38" s="125">
        <v>100000000</v>
      </c>
      <c r="D38" s="86">
        <f t="shared" si="16"/>
        <v>0.23798191337458352</v>
      </c>
      <c r="E38" s="23">
        <f>(97540000)/$C$38*100</f>
        <v>97.54</v>
      </c>
      <c r="F38" s="23">
        <f>(97540000)/$C$38*100</f>
        <v>97.54</v>
      </c>
      <c r="G38" s="23">
        <f>(97540000)/$C$38*100</f>
        <v>97.54</v>
      </c>
      <c r="H38" s="23">
        <f>(97540000+0+0+2460000)/$C$38*100</f>
        <v>100</v>
      </c>
      <c r="I38" s="56">
        <v>0</v>
      </c>
      <c r="J38" s="56">
        <v>0</v>
      </c>
      <c r="K38" s="57">
        <f t="shared" si="12"/>
        <v>0</v>
      </c>
      <c r="L38" s="23">
        <f t="shared" si="13"/>
        <v>0</v>
      </c>
      <c r="M38" s="90">
        <v>15</v>
      </c>
      <c r="N38" s="23">
        <f t="shared" si="17"/>
        <v>0</v>
      </c>
      <c r="O38" s="23">
        <f t="shared" si="14"/>
        <v>3.5697287006187531E-2</v>
      </c>
      <c r="P38" s="18"/>
      <c r="Q38" s="113"/>
      <c r="R38" s="25">
        <f t="shared" si="24"/>
        <v>0.23798191337458352</v>
      </c>
      <c r="S38" s="25">
        <f t="shared" ref="S38" si="25">M38*R38/100</f>
        <v>3.5697287006187531E-2</v>
      </c>
    </row>
    <row r="39" spans="1:21" s="3" customFormat="1" ht="18.75" customHeight="1" x14ac:dyDescent="0.25">
      <c r="A39" s="46" t="s">
        <v>133</v>
      </c>
      <c r="B39" s="124" t="s">
        <v>136</v>
      </c>
      <c r="C39" s="125">
        <v>900000000</v>
      </c>
      <c r="D39" s="86">
        <f t="shared" si="16"/>
        <v>2.1418372203712517</v>
      </c>
      <c r="E39" s="23">
        <f>(200000000)/$C$39*100</f>
        <v>22.222222222222221</v>
      </c>
      <c r="F39" s="23">
        <f>(200000000+285159000)/$C$39*100</f>
        <v>53.906555555555556</v>
      </c>
      <c r="G39" s="23">
        <f>(200000000+285159000+200000000)/$C$39*100</f>
        <v>76.128777777777785</v>
      </c>
      <c r="H39" s="23">
        <f>(200000000+285159000+200000000+214841000)/$C$39*100</f>
        <v>100</v>
      </c>
      <c r="I39" s="56">
        <v>0</v>
      </c>
      <c r="J39" s="56">
        <f>62631505+16813665</f>
        <v>79445170</v>
      </c>
      <c r="K39" s="57">
        <f t="shared" si="12"/>
        <v>79445170</v>
      </c>
      <c r="L39" s="23">
        <f t="shared" si="13"/>
        <v>8.8272411111111122</v>
      </c>
      <c r="M39" s="90">
        <v>25</v>
      </c>
      <c r="N39" s="23">
        <f t="shared" si="17"/>
        <v>0.18906513564969063</v>
      </c>
      <c r="O39" s="23">
        <f t="shared" si="14"/>
        <v>0.53545930509281292</v>
      </c>
      <c r="P39" s="18"/>
      <c r="Q39" s="85"/>
      <c r="R39" s="25">
        <f t="shared" si="24"/>
        <v>2.1418372203712517</v>
      </c>
      <c r="S39" s="25">
        <f>M39*R39/100</f>
        <v>0.53545930509281292</v>
      </c>
    </row>
    <row r="40" spans="1:21" s="3" customFormat="1" ht="18" customHeight="1" x14ac:dyDescent="0.25">
      <c r="A40" s="46" t="s">
        <v>135</v>
      </c>
      <c r="B40" s="124" t="s">
        <v>138</v>
      </c>
      <c r="C40" s="125">
        <v>75000000</v>
      </c>
      <c r="D40" s="86">
        <f t="shared" si="16"/>
        <v>0.17848643503093764</v>
      </c>
      <c r="E40" s="23">
        <f>(72470000)/$C$40*100</f>
        <v>96.626666666666665</v>
      </c>
      <c r="F40" s="23">
        <f>(72470000+2530000)/$C$40*100</f>
        <v>100</v>
      </c>
      <c r="G40" s="23">
        <f>(72470000+2530000)/$C$40*100</f>
        <v>100</v>
      </c>
      <c r="H40" s="23">
        <f>(72470000+2530000)/$C$40*100</f>
        <v>100</v>
      </c>
      <c r="I40" s="56">
        <v>0</v>
      </c>
      <c r="J40" s="56">
        <v>0</v>
      </c>
      <c r="K40" s="57">
        <f t="shared" si="12"/>
        <v>0</v>
      </c>
      <c r="L40" s="23">
        <f t="shared" si="13"/>
        <v>0</v>
      </c>
      <c r="M40" s="90">
        <v>0</v>
      </c>
      <c r="N40" s="23">
        <f t="shared" si="17"/>
        <v>0</v>
      </c>
      <c r="O40" s="23">
        <f t="shared" si="14"/>
        <v>0</v>
      </c>
      <c r="P40" s="18"/>
      <c r="Q40" s="85"/>
      <c r="R40" s="25">
        <f t="shared" si="24"/>
        <v>0.17848643503093764</v>
      </c>
      <c r="S40" s="25">
        <f t="shared" ref="S40" si="26">M40*R40/100</f>
        <v>0</v>
      </c>
    </row>
    <row r="41" spans="1:21" s="3" customFormat="1" ht="18.75" customHeight="1" x14ac:dyDescent="0.25">
      <c r="A41" s="46" t="s">
        <v>137</v>
      </c>
      <c r="B41" s="117" t="s">
        <v>140</v>
      </c>
      <c r="C41" s="125">
        <v>4690230500</v>
      </c>
      <c r="D41" s="86">
        <f t="shared" si="16"/>
        <v>11.161900285578296</v>
      </c>
      <c r="E41" s="23">
        <f>(650000000)/$C$41*100</f>
        <v>13.858593943304065</v>
      </c>
      <c r="F41" s="23">
        <f>(650000000+790080000+730076833)/$C$41*100</f>
        <v>46.269726679744203</v>
      </c>
      <c r="G41" s="23">
        <f>(650000000+790080000+730076833+600000000+730076833)/$C$41*100</f>
        <v>74.628180128887053</v>
      </c>
      <c r="H41" s="23">
        <f>(650000000+790080000+730076833+600000000+730076833+459920000+730076833)/$C$41*100</f>
        <v>99.999999978679085</v>
      </c>
      <c r="I41" s="56">
        <v>0</v>
      </c>
      <c r="J41" s="56">
        <f>150285150+168285050</f>
        <v>318570200</v>
      </c>
      <c r="K41" s="57">
        <f t="shared" si="12"/>
        <v>318570200</v>
      </c>
      <c r="L41" s="23">
        <f t="shared" si="13"/>
        <v>6.7922077603648683</v>
      </c>
      <c r="M41" s="90">
        <v>30</v>
      </c>
      <c r="N41" s="23">
        <f t="shared" si="17"/>
        <v>0.75813945740123745</v>
      </c>
      <c r="O41" s="23">
        <f t="shared" si="14"/>
        <v>3.3485700856734888</v>
      </c>
      <c r="P41" s="18"/>
      <c r="Q41" s="85"/>
      <c r="R41" s="25">
        <f t="shared" si="24"/>
        <v>11.161900285578296</v>
      </c>
      <c r="S41" s="25">
        <f>M41*R41/100</f>
        <v>3.3485700856734888</v>
      </c>
    </row>
    <row r="42" spans="1:21" s="3" customFormat="1" ht="23.25" customHeight="1" x14ac:dyDescent="0.25">
      <c r="A42" s="46" t="s">
        <v>139</v>
      </c>
      <c r="B42" s="124" t="s">
        <v>142</v>
      </c>
      <c r="C42" s="125">
        <v>600000000</v>
      </c>
      <c r="D42" s="86">
        <f t="shared" si="16"/>
        <v>1.4278914802475011</v>
      </c>
      <c r="E42" s="23">
        <f>(50000000)/$C$42*100</f>
        <v>8.3333333333333321</v>
      </c>
      <c r="F42" s="23">
        <f>(50000000+200000000)/$C$42*100</f>
        <v>41.666666666666671</v>
      </c>
      <c r="G42" s="23">
        <f>(50000000+200000000+50000000+300000000)/$C$42*100</f>
        <v>100</v>
      </c>
      <c r="H42" s="23">
        <f>(50000000+200000000+50000000+300000000)/$C$42*100</f>
        <v>100</v>
      </c>
      <c r="I42" s="56">
        <v>0</v>
      </c>
      <c r="J42" s="56">
        <v>0</v>
      </c>
      <c r="K42" s="57">
        <f t="shared" si="12"/>
        <v>0</v>
      </c>
      <c r="L42" s="23">
        <f t="shared" si="13"/>
        <v>0</v>
      </c>
      <c r="M42" s="90">
        <v>15</v>
      </c>
      <c r="N42" s="23">
        <f t="shared" si="17"/>
        <v>0</v>
      </c>
      <c r="O42" s="23">
        <f t="shared" si="14"/>
        <v>0.21418372203712516</v>
      </c>
      <c r="P42" s="18"/>
      <c r="Q42" s="85"/>
      <c r="R42" s="25">
        <f t="shared" si="24"/>
        <v>1.4278914802475011</v>
      </c>
      <c r="S42" s="25">
        <f t="shared" ref="S42" si="27">M42*R42/100</f>
        <v>0.21418372203712516</v>
      </c>
    </row>
    <row r="43" spans="1:21" s="3" customFormat="1" ht="23.25" customHeight="1" x14ac:dyDescent="0.25">
      <c r="A43" s="46" t="s">
        <v>141</v>
      </c>
      <c r="B43" s="124" t="s">
        <v>144</v>
      </c>
      <c r="C43" s="125">
        <v>1296480000</v>
      </c>
      <c r="D43" s="86">
        <f t="shared" si="16"/>
        <v>3.0853879105188007</v>
      </c>
      <c r="E43" s="23">
        <f>(300000000)/$C$43*100</f>
        <v>23.139577934098483</v>
      </c>
      <c r="F43" s="23">
        <f>(300000000+400000000)/$C$43*100</f>
        <v>53.992348512896463</v>
      </c>
      <c r="G43" s="23">
        <f>(300000000+400000000+450000000)/$C$43*100</f>
        <v>88.701715414044173</v>
      </c>
      <c r="H43" s="23">
        <f>(300000000+400000000+450000000+50000000+96480000)/$C$43*100</f>
        <v>100</v>
      </c>
      <c r="I43" s="56">
        <v>0</v>
      </c>
      <c r="J43" s="56">
        <v>0</v>
      </c>
      <c r="K43" s="57">
        <f t="shared" si="12"/>
        <v>0</v>
      </c>
      <c r="L43" s="23">
        <f t="shared" si="13"/>
        <v>0</v>
      </c>
      <c r="M43" s="90">
        <v>25</v>
      </c>
      <c r="N43" s="23">
        <f t="shared" si="17"/>
        <v>0</v>
      </c>
      <c r="O43" s="23">
        <f t="shared" si="14"/>
        <v>0.77134697762970017</v>
      </c>
      <c r="P43" s="18"/>
      <c r="Q43" s="85"/>
      <c r="R43" s="25">
        <f t="shared" si="24"/>
        <v>3.0853879105188007</v>
      </c>
      <c r="S43" s="25">
        <f>M43*R43/100</f>
        <v>0.77134697762970017</v>
      </c>
    </row>
    <row r="44" spans="1:21" s="3" customFormat="1" ht="23.25" customHeight="1" x14ac:dyDescent="0.25">
      <c r="A44" s="46" t="s">
        <v>143</v>
      </c>
      <c r="B44" s="123" t="s">
        <v>163</v>
      </c>
      <c r="C44" s="125">
        <v>450000000</v>
      </c>
      <c r="D44" s="86">
        <f t="shared" si="16"/>
        <v>1.0709186101856258</v>
      </c>
      <c r="E44" s="23">
        <f>(0)/$C$44*100</f>
        <v>0</v>
      </c>
      <c r="F44" s="23">
        <f>(0)/$C$44*100</f>
        <v>0</v>
      </c>
      <c r="G44" s="23">
        <f>(450000000)/$C$44*100</f>
        <v>100</v>
      </c>
      <c r="H44" s="23">
        <f>(450000000)/$C$44*100</f>
        <v>100</v>
      </c>
      <c r="I44" s="56">
        <v>0</v>
      </c>
      <c r="J44" s="56">
        <v>0</v>
      </c>
      <c r="K44" s="57">
        <f t="shared" si="12"/>
        <v>0</v>
      </c>
      <c r="L44" s="23">
        <f t="shared" si="13"/>
        <v>0</v>
      </c>
      <c r="M44" s="90">
        <v>5</v>
      </c>
      <c r="N44" s="23">
        <f t="shared" si="17"/>
        <v>0</v>
      </c>
      <c r="O44" s="23">
        <f t="shared" si="14"/>
        <v>5.3545930509281289E-2</v>
      </c>
      <c r="P44" s="18"/>
      <c r="Q44" s="85"/>
      <c r="R44" s="25">
        <f t="shared" si="24"/>
        <v>1.0709186101856258</v>
      </c>
      <c r="S44" s="25">
        <f t="shared" ref="S44" si="28">M44*R44/100</f>
        <v>5.3545930509281289E-2</v>
      </c>
    </row>
    <row r="45" spans="1:21" s="3" customFormat="1" ht="23.25" customHeight="1" x14ac:dyDescent="0.25">
      <c r="A45" s="39" t="s">
        <v>145</v>
      </c>
      <c r="B45" s="123" t="s">
        <v>164</v>
      </c>
      <c r="C45" s="125">
        <v>700000000</v>
      </c>
      <c r="D45" s="86">
        <f t="shared" si="16"/>
        <v>1.6658733936220846</v>
      </c>
      <c r="E45" s="23">
        <f>(0)/$C$45*100</f>
        <v>0</v>
      </c>
      <c r="F45" s="23">
        <f>(0)/$C$45*100</f>
        <v>0</v>
      </c>
      <c r="G45" s="23">
        <f>(0+0+700000000)/$C$45*100</f>
        <v>100</v>
      </c>
      <c r="H45" s="23">
        <f>(0+0+700000000+0)/$C$45*100</f>
        <v>100</v>
      </c>
      <c r="I45" s="56">
        <v>0</v>
      </c>
      <c r="J45" s="56">
        <v>0</v>
      </c>
      <c r="K45" s="57">
        <f t="shared" si="12"/>
        <v>0</v>
      </c>
      <c r="L45" s="23">
        <f t="shared" si="13"/>
        <v>0</v>
      </c>
      <c r="M45" s="90">
        <v>5</v>
      </c>
      <c r="N45" s="23">
        <f t="shared" si="17"/>
        <v>0</v>
      </c>
      <c r="O45" s="23">
        <f t="shared" si="14"/>
        <v>8.3293669681104243E-2</v>
      </c>
      <c r="P45" s="18"/>
      <c r="Q45" s="85"/>
      <c r="R45" s="25">
        <f t="shared" si="24"/>
        <v>1.6658733936220846</v>
      </c>
      <c r="S45" s="25">
        <f>M45*R45/100</f>
        <v>8.3293669681104243E-2</v>
      </c>
    </row>
    <row r="46" spans="1:21" s="3" customFormat="1" ht="23.25" customHeight="1" x14ac:dyDescent="0.25">
      <c r="A46" s="39" t="s">
        <v>146</v>
      </c>
      <c r="B46" s="123" t="s">
        <v>165</v>
      </c>
      <c r="C46" s="125">
        <v>750000000</v>
      </c>
      <c r="D46" s="86">
        <f t="shared" si="16"/>
        <v>1.7848643503093766</v>
      </c>
      <c r="E46" s="23">
        <f>(0)/$C$46*100</f>
        <v>0</v>
      </c>
      <c r="F46" s="23">
        <f>(0)/$C$46*100</f>
        <v>0</v>
      </c>
      <c r="G46" s="23">
        <f>(0+0+750000000)/$C$46*100</f>
        <v>100</v>
      </c>
      <c r="H46" s="23">
        <f>(0+0+750000000)/$C$46*100</f>
        <v>100</v>
      </c>
      <c r="I46" s="56">
        <v>0</v>
      </c>
      <c r="J46" s="56">
        <v>0</v>
      </c>
      <c r="K46" s="57">
        <f t="shared" si="12"/>
        <v>0</v>
      </c>
      <c r="L46" s="23">
        <f t="shared" si="13"/>
        <v>0</v>
      </c>
      <c r="M46" s="90">
        <v>5</v>
      </c>
      <c r="N46" s="23">
        <f t="shared" si="17"/>
        <v>0</v>
      </c>
      <c r="O46" s="23">
        <f t="shared" si="14"/>
        <v>8.924321751546882E-2</v>
      </c>
      <c r="P46" s="18"/>
      <c r="Q46" s="85"/>
      <c r="R46" s="25">
        <f t="shared" si="24"/>
        <v>1.7848643503093766</v>
      </c>
      <c r="S46" s="25">
        <f t="shared" ref="S46" si="29">M46*R46/100</f>
        <v>8.924321751546882E-2</v>
      </c>
    </row>
    <row r="47" spans="1:21" s="3" customFormat="1" ht="23.25" customHeight="1" x14ac:dyDescent="0.25">
      <c r="A47" s="39" t="s">
        <v>147</v>
      </c>
      <c r="B47" s="123" t="s">
        <v>166</v>
      </c>
      <c r="C47" s="125">
        <v>9769500</v>
      </c>
      <c r="D47" s="86">
        <f t="shared" si="16"/>
        <v>2.3249643027129938E-2</v>
      </c>
      <c r="E47" s="23">
        <f>(0)/$C$47*100</f>
        <v>0</v>
      </c>
      <c r="F47" s="23">
        <f>(0)/$C$47*100</f>
        <v>0</v>
      </c>
      <c r="G47" s="23">
        <f>(0+0+9769500)/$C$47*100</f>
        <v>100</v>
      </c>
      <c r="H47" s="23">
        <f>(0+0+9769500)/$C$47*100</f>
        <v>100</v>
      </c>
      <c r="I47" s="56">
        <v>0</v>
      </c>
      <c r="J47" s="56">
        <v>0</v>
      </c>
      <c r="K47" s="57">
        <f t="shared" si="12"/>
        <v>0</v>
      </c>
      <c r="L47" s="23">
        <f t="shared" si="13"/>
        <v>0</v>
      </c>
      <c r="M47" s="90">
        <v>0</v>
      </c>
      <c r="N47" s="23">
        <f t="shared" si="17"/>
        <v>0</v>
      </c>
      <c r="O47" s="23">
        <f t="shared" si="14"/>
        <v>0</v>
      </c>
      <c r="P47" s="18"/>
      <c r="Q47" s="85"/>
      <c r="R47" s="25">
        <f t="shared" si="24"/>
        <v>2.3249643027129938E-2</v>
      </c>
      <c r="S47" s="25">
        <f>M47*R47/100</f>
        <v>0</v>
      </c>
    </row>
    <row r="48" spans="1:21" x14ac:dyDescent="0.25">
      <c r="A48" s="44"/>
      <c r="B48" s="11"/>
      <c r="C48" s="64"/>
      <c r="D48" s="89"/>
      <c r="E48" s="24"/>
      <c r="F48" s="24"/>
      <c r="G48" s="24"/>
      <c r="H48" s="24"/>
      <c r="I48" s="56"/>
      <c r="J48" s="57"/>
      <c r="K48" s="57"/>
      <c r="L48" s="24"/>
      <c r="M48" s="24"/>
      <c r="N48" s="24"/>
      <c r="O48" s="24"/>
      <c r="P48" s="13"/>
      <c r="Q48" s="85"/>
      <c r="R48" s="25"/>
      <c r="S48" s="25"/>
      <c r="T48" s="3"/>
      <c r="U48" s="3"/>
    </row>
    <row r="49" spans="1:29" ht="19.5" customHeight="1" x14ac:dyDescent="0.25">
      <c r="A49" s="42"/>
      <c r="B49" s="65" t="s">
        <v>37</v>
      </c>
      <c r="C49" s="108">
        <f>SUM(C50:C56)</f>
        <v>90320000000</v>
      </c>
      <c r="D49" s="105">
        <f>C49/$C$15*100</f>
        <v>52.60337798485731</v>
      </c>
      <c r="E49" s="106">
        <f>(36487707000)/$C$49*100</f>
        <v>40.398258414526126</v>
      </c>
      <c r="F49" s="106">
        <f>(36487707000+28687523550)/$C$49*100</f>
        <v>72.16035269043401</v>
      </c>
      <c r="G49" s="106">
        <f>(36487707000+28687523550+20028634000)/$C$49*100</f>
        <v>94.335545338795384</v>
      </c>
      <c r="H49" s="106">
        <f>(36487707000+28687523550+20028634000+5116135450)/$C$49*100</f>
        <v>100</v>
      </c>
      <c r="I49" s="58">
        <f>SUM(I50:I57)</f>
        <v>17075953695</v>
      </c>
      <c r="J49" s="58">
        <f t="shared" ref="J49:K49" si="30">SUM(J50:J57)</f>
        <v>9742488572</v>
      </c>
      <c r="K49" s="58">
        <f t="shared" si="30"/>
        <v>26818442267</v>
      </c>
      <c r="L49" s="106">
        <f>K49/C49*100</f>
        <v>29.692695158325954</v>
      </c>
      <c r="M49" s="106">
        <f>S49</f>
        <v>30.426527900797172</v>
      </c>
      <c r="N49" s="106">
        <f>L49*D49/100</f>
        <v>15.619360668025626</v>
      </c>
      <c r="O49" s="106">
        <f>M49*D49/100</f>
        <v>16.005381479324409</v>
      </c>
      <c r="P49" s="68" t="s">
        <v>100</v>
      </c>
      <c r="Q49" s="83"/>
      <c r="R49" s="25"/>
      <c r="S49" s="116">
        <f>SUM(S50:S56)</f>
        <v>30.426527900797172</v>
      </c>
      <c r="T49" s="3">
        <f>C49/$C$10*100</f>
        <v>52.552317761150235</v>
      </c>
      <c r="U49" s="4">
        <f>M49*T49/100</f>
        <v>15.989845626111965</v>
      </c>
    </row>
    <row r="50" spans="1:29" s="3" customFormat="1" ht="31.5" customHeight="1" x14ac:dyDescent="0.25">
      <c r="A50" s="46" t="s">
        <v>69</v>
      </c>
      <c r="B50" s="127" t="s">
        <v>38</v>
      </c>
      <c r="C50" s="126">
        <v>198600000</v>
      </c>
      <c r="D50" s="89">
        <f>C50/$C$49*100</f>
        <v>0.21988485385296724</v>
      </c>
      <c r="E50" s="23">
        <f>(49650000)/$C$50*100</f>
        <v>25</v>
      </c>
      <c r="F50" s="23">
        <f>(49650000+49650000)/$C$50*100</f>
        <v>50</v>
      </c>
      <c r="G50" s="23">
        <f>(49650000+49650000+49650000)/$C$50*100</f>
        <v>75</v>
      </c>
      <c r="H50" s="23">
        <f>(49650000+49650000+49650000+49650000)/$C$50*100</f>
        <v>100</v>
      </c>
      <c r="I50" s="57">
        <v>0</v>
      </c>
      <c r="J50" s="57">
        <v>32500000</v>
      </c>
      <c r="K50" s="57">
        <f t="shared" ref="K50:K56" si="31">I50+J50</f>
        <v>32500000</v>
      </c>
      <c r="L50" s="23">
        <f t="shared" ref="L50:L56" si="32">K50/C50*100</f>
        <v>16.364551863041289</v>
      </c>
      <c r="M50" s="90">
        <v>25</v>
      </c>
      <c r="N50" s="23">
        <f>L50*D50/100</f>
        <v>3.5983170947741366E-2</v>
      </c>
      <c r="O50" s="23">
        <f>M50*D50/100</f>
        <v>5.4971213463241811E-2</v>
      </c>
      <c r="P50" s="18"/>
      <c r="Q50" s="85"/>
      <c r="R50" s="25">
        <f t="shared" ref="R50:R56" si="33">C50/$C$49*100</f>
        <v>0.21988485385296724</v>
      </c>
      <c r="S50" s="26">
        <f t="shared" ref="S50:S56" si="34">M50*R50/100</f>
        <v>5.4971213463241811E-2</v>
      </c>
    </row>
    <row r="51" spans="1:29" s="3" customFormat="1" ht="36.75" customHeight="1" x14ac:dyDescent="0.25">
      <c r="A51" s="46" t="s">
        <v>70</v>
      </c>
      <c r="B51" s="127" t="s">
        <v>39</v>
      </c>
      <c r="C51" s="126">
        <v>325000000</v>
      </c>
      <c r="D51" s="89">
        <f t="shared" ref="D51:D56" si="35">C51/$C$49*100</f>
        <v>0.35983170947741361</v>
      </c>
      <c r="E51" s="23">
        <f>(31000000)/$C$51*100</f>
        <v>9.5384615384615383</v>
      </c>
      <c r="F51" s="23">
        <f>(31000000+208816550)/$C$51*100</f>
        <v>73.789707692307687</v>
      </c>
      <c r="G51" s="23">
        <f>(31000000+208816550+44927000)/$C$51*100</f>
        <v>87.613399999999999</v>
      </c>
      <c r="H51" s="23">
        <f>(31000000+208816550+44927000+40256450)/$C$51*100</f>
        <v>100</v>
      </c>
      <c r="I51" s="57">
        <v>0</v>
      </c>
      <c r="J51" s="57">
        <v>0</v>
      </c>
      <c r="K51" s="57">
        <f t="shared" si="31"/>
        <v>0</v>
      </c>
      <c r="L51" s="23">
        <f t="shared" si="32"/>
        <v>0</v>
      </c>
      <c r="M51" s="90">
        <v>8.92</v>
      </c>
      <c r="N51" s="23">
        <f t="shared" ref="N51" si="36">L51*D51/100</f>
        <v>0</v>
      </c>
      <c r="O51" s="23">
        <f t="shared" ref="O51" si="37">M51*D51/100</f>
        <v>3.2096988485385294E-2</v>
      </c>
      <c r="P51" s="18"/>
      <c r="Q51" s="85"/>
      <c r="R51" s="25">
        <f t="shared" si="33"/>
        <v>0.35983170947741361</v>
      </c>
      <c r="S51" s="26">
        <f t="shared" si="34"/>
        <v>3.2096988485385294E-2</v>
      </c>
    </row>
    <row r="52" spans="1:29" s="3" customFormat="1" ht="18" customHeight="1" x14ac:dyDescent="0.25">
      <c r="A52" s="46" t="s">
        <v>71</v>
      </c>
      <c r="B52" s="127" t="s">
        <v>40</v>
      </c>
      <c r="C52" s="126">
        <v>16496400000</v>
      </c>
      <c r="D52" s="89">
        <f t="shared" si="35"/>
        <v>18.264393268379099</v>
      </c>
      <c r="E52" s="23">
        <f>(5321535000)/$C$52*100</f>
        <v>32.258765548847023</v>
      </c>
      <c r="F52" s="23">
        <f>(5321535000+5221535000)/$C$52*100</f>
        <v>63.911338231371694</v>
      </c>
      <c r="G52" s="23">
        <f>(5321535000+5221535000+4121535000)/$C$52*100</f>
        <v>88.895789384350522</v>
      </c>
      <c r="H52" s="23">
        <f>(5321535000+5221535000+4121535000+1831795000)/$C$52*100</f>
        <v>100</v>
      </c>
      <c r="I52" s="57">
        <v>2087480000</v>
      </c>
      <c r="J52" s="57">
        <f>1024150000+484806373</f>
        <v>1508956373</v>
      </c>
      <c r="K52" s="57">
        <f t="shared" si="31"/>
        <v>3596436373</v>
      </c>
      <c r="L52" s="23">
        <f t="shared" si="32"/>
        <v>21.801340734948234</v>
      </c>
      <c r="M52" s="90">
        <v>25</v>
      </c>
      <c r="N52" s="23">
        <f>L52*D52/100</f>
        <v>3.9818826096102753</v>
      </c>
      <c r="O52" s="23">
        <f>M52*D52/100</f>
        <v>4.5660983170947747</v>
      </c>
      <c r="P52" s="18"/>
      <c r="Q52" s="85"/>
      <c r="R52" s="25">
        <f t="shared" si="33"/>
        <v>18.264393268379099</v>
      </c>
      <c r="S52" s="26">
        <f t="shared" si="34"/>
        <v>4.5660983170947747</v>
      </c>
    </row>
    <row r="53" spans="1:29" s="3" customFormat="1" ht="18" customHeight="1" x14ac:dyDescent="0.25">
      <c r="A53" s="46" t="s">
        <v>72</v>
      </c>
      <c r="B53" s="127" t="s">
        <v>167</v>
      </c>
      <c r="C53" s="126">
        <v>8700000000</v>
      </c>
      <c r="D53" s="89">
        <f t="shared" si="35"/>
        <v>9.6324180690876879</v>
      </c>
      <c r="E53" s="23">
        <f>(2175000000)/$C$53*100</f>
        <v>25</v>
      </c>
      <c r="F53" s="23">
        <f>(2175000000+2175000000)/$C$53*100</f>
        <v>50</v>
      </c>
      <c r="G53" s="23">
        <f>(2175000000+2175000000+2175000000)/$C$53*100</f>
        <v>75</v>
      </c>
      <c r="H53" s="23">
        <f>(2175000000+2175000000+2175000000+2175000000)/$C$53*100</f>
        <v>100</v>
      </c>
      <c r="I53" s="57">
        <v>0</v>
      </c>
      <c r="J53" s="57">
        <v>0</v>
      </c>
      <c r="K53" s="57">
        <f t="shared" si="31"/>
        <v>0</v>
      </c>
      <c r="L53" s="23">
        <f t="shared" si="32"/>
        <v>0</v>
      </c>
      <c r="M53" s="90">
        <v>0</v>
      </c>
      <c r="N53" s="23">
        <f t="shared" ref="N53" si="38">L53*D53/100</f>
        <v>0</v>
      </c>
      <c r="O53" s="23">
        <f t="shared" ref="O53" si="39">M53*D53/100</f>
        <v>0</v>
      </c>
      <c r="P53" s="18"/>
      <c r="Q53" s="85"/>
      <c r="R53" s="25">
        <f t="shared" si="33"/>
        <v>9.6324180690876879</v>
      </c>
      <c r="S53" s="26">
        <f t="shared" si="34"/>
        <v>0</v>
      </c>
    </row>
    <row r="54" spans="1:29" s="3" customFormat="1" ht="18" customHeight="1" x14ac:dyDescent="0.25">
      <c r="A54" s="46" t="s">
        <v>73</v>
      </c>
      <c r="B54" s="127" t="s">
        <v>41</v>
      </c>
      <c r="C54" s="126">
        <v>60500000000</v>
      </c>
      <c r="D54" s="89">
        <f t="shared" si="35"/>
        <v>66.984056687333933</v>
      </c>
      <c r="E54" s="23">
        <f>(27719748000)/$C$54*100</f>
        <v>45.817765289256194</v>
      </c>
      <c r="F54" s="23">
        <f>(27719748000+19719748000)/$C$54*100</f>
        <v>78.41239008264462</v>
      </c>
      <c r="G54" s="23">
        <f>(27719748000+19719748000+12619748000)/$C$54*100</f>
        <v>99.271477685950416</v>
      </c>
      <c r="H54" s="23">
        <f>(27719748000+19719748000+12619748000+440756000)/$C$54*100</f>
        <v>100</v>
      </c>
      <c r="I54" s="57">
        <f>739126902+13719558272</f>
        <v>14458685174</v>
      </c>
      <c r="J54" s="57">
        <f>425287777+7318352188</f>
        <v>7743639965</v>
      </c>
      <c r="K54" s="57">
        <f t="shared" si="31"/>
        <v>22202325139</v>
      </c>
      <c r="L54" s="23">
        <f t="shared" si="32"/>
        <v>36.698058080991736</v>
      </c>
      <c r="M54" s="90">
        <v>36.700000000000003</v>
      </c>
      <c r="N54" s="23">
        <f>L54*D54/100</f>
        <v>24.581848028122234</v>
      </c>
      <c r="O54" s="23">
        <f>M54*D54/100</f>
        <v>24.583148804251554</v>
      </c>
      <c r="P54" s="18"/>
      <c r="Q54" s="112"/>
      <c r="R54" s="25">
        <f t="shared" si="33"/>
        <v>66.984056687333933</v>
      </c>
      <c r="S54" s="26">
        <f t="shared" si="34"/>
        <v>24.583148804251554</v>
      </c>
    </row>
    <row r="55" spans="1:29" s="3" customFormat="1" ht="18" customHeight="1" x14ac:dyDescent="0.25">
      <c r="A55" s="46" t="s">
        <v>74</v>
      </c>
      <c r="B55" s="127" t="s">
        <v>42</v>
      </c>
      <c r="C55" s="126">
        <v>4000000000</v>
      </c>
      <c r="D55" s="89">
        <f t="shared" si="35"/>
        <v>4.4286979627989371</v>
      </c>
      <c r="E55" s="23">
        <f>(1190774000)/$C$55*100</f>
        <v>29.769349999999999</v>
      </c>
      <c r="F55" s="23">
        <f>(1190774000+1212774000)/$C$55*100</f>
        <v>60.088699999999996</v>
      </c>
      <c r="G55" s="23">
        <f>(1190774000+1212774000+1017774000)/$C$55*100</f>
        <v>85.533050000000003</v>
      </c>
      <c r="H55" s="23">
        <f>(1190774000+1212774000+1017774000+578678000)/$C$55*100</f>
        <v>100</v>
      </c>
      <c r="I55" s="57">
        <v>529788521</v>
      </c>
      <c r="J55" s="57">
        <f>313975273+143416961</f>
        <v>457392234</v>
      </c>
      <c r="K55" s="57">
        <f t="shared" si="31"/>
        <v>987180755</v>
      </c>
      <c r="L55" s="23">
        <f t="shared" si="32"/>
        <v>24.679518874999999</v>
      </c>
      <c r="M55" s="90">
        <v>25</v>
      </c>
      <c r="N55" s="23">
        <f t="shared" ref="N55" si="40">L55*D55/100</f>
        <v>1.0929813496457041</v>
      </c>
      <c r="O55" s="23">
        <f t="shared" ref="O55" si="41">M55*D55/100</f>
        <v>1.1071744906997343</v>
      </c>
      <c r="P55" s="18"/>
      <c r="Q55" s="85"/>
      <c r="R55" s="25">
        <f t="shared" si="33"/>
        <v>4.4286979627989371</v>
      </c>
      <c r="S55" s="26">
        <f t="shared" si="34"/>
        <v>1.1071744906997343</v>
      </c>
    </row>
    <row r="56" spans="1:29" s="3" customFormat="1" ht="18" customHeight="1" x14ac:dyDescent="0.25">
      <c r="A56" s="46" t="s">
        <v>75</v>
      </c>
      <c r="B56" s="127" t="s">
        <v>43</v>
      </c>
      <c r="C56" s="126">
        <v>100000000</v>
      </c>
      <c r="D56" s="89">
        <f t="shared" si="35"/>
        <v>0.11071744906997344</v>
      </c>
      <c r="E56" s="23">
        <f>(0)/$C$56*100</f>
        <v>0</v>
      </c>
      <c r="F56" s="23">
        <f>(0+100000000)/$C$56*100</f>
        <v>100</v>
      </c>
      <c r="G56" s="23">
        <f>(0+100000000+0)/$C$56*100</f>
        <v>100</v>
      </c>
      <c r="H56" s="23">
        <f>(0+100000000+0+0)/$C$56*100</f>
        <v>100</v>
      </c>
      <c r="I56" s="57">
        <v>0</v>
      </c>
      <c r="J56" s="57">
        <v>0</v>
      </c>
      <c r="K56" s="57">
        <f t="shared" si="31"/>
        <v>0</v>
      </c>
      <c r="L56" s="23">
        <f t="shared" si="32"/>
        <v>0</v>
      </c>
      <c r="M56" s="90">
        <v>75</v>
      </c>
      <c r="N56" s="23">
        <f>L56*D56/100</f>
        <v>0</v>
      </c>
      <c r="O56" s="23">
        <f>M56*D56/100</f>
        <v>8.3038086802480079E-2</v>
      </c>
      <c r="P56" s="18"/>
      <c r="Q56" s="85"/>
      <c r="R56" s="25">
        <f t="shared" si="33"/>
        <v>0.11071744906997344</v>
      </c>
      <c r="S56" s="26">
        <f t="shared" si="34"/>
        <v>8.3038086802480079E-2</v>
      </c>
    </row>
    <row r="57" spans="1:29" x14ac:dyDescent="0.25">
      <c r="A57" s="44"/>
      <c r="B57" s="13" t="s">
        <v>23</v>
      </c>
      <c r="C57" s="51"/>
      <c r="D57" s="86"/>
      <c r="E57" s="23"/>
      <c r="F57" s="23"/>
      <c r="G57" s="23"/>
      <c r="H57" s="23"/>
      <c r="I57" s="56"/>
      <c r="J57" s="57"/>
      <c r="K57" s="57"/>
      <c r="L57" s="23"/>
      <c r="M57" s="23"/>
      <c r="N57" s="23"/>
      <c r="O57" s="23"/>
      <c r="P57" s="18"/>
      <c r="Q57" s="85"/>
      <c r="R57" s="25"/>
      <c r="S57" s="26"/>
      <c r="T57" s="3"/>
      <c r="U57" s="3"/>
    </row>
    <row r="58" spans="1:29" ht="22.5" customHeight="1" x14ac:dyDescent="0.25">
      <c r="A58" s="42"/>
      <c r="B58" s="20" t="s">
        <v>44</v>
      </c>
      <c r="C58" s="104">
        <f>SUM(C59:C67)</f>
        <v>4950000000</v>
      </c>
      <c r="D58" s="105">
        <f>C58/$C$15*100</f>
        <v>2.8829353523587655</v>
      </c>
      <c r="E58" s="106">
        <f>(733038500)/$C$58*100</f>
        <v>14.808858585858587</v>
      </c>
      <c r="F58" s="106">
        <f>(733038500+2009082333)/$C$58*100</f>
        <v>55.396380464646469</v>
      </c>
      <c r="G58" s="106">
        <f>(733038500+2009082333+1498289834)/$C$58*100</f>
        <v>85.664861959595967</v>
      </c>
      <c r="H58" s="106">
        <f>(733038500+2009082333+1498289834+709589333)/$C$58*100</f>
        <v>100</v>
      </c>
      <c r="I58" s="58">
        <f>SUM(I59:I67)</f>
        <v>0</v>
      </c>
      <c r="J58" s="58">
        <f>SUM(J59:J67)</f>
        <v>63183861</v>
      </c>
      <c r="K58" s="58">
        <f>SUM(K59:K67)</f>
        <v>63183861</v>
      </c>
      <c r="L58" s="106">
        <f>K58/C58*100</f>
        <v>1.2764416363636364</v>
      </c>
      <c r="M58" s="106">
        <f>S58</f>
        <v>35.701044444444449</v>
      </c>
      <c r="N58" s="106">
        <f>L58*D58/100</f>
        <v>3.6798987186953992E-2</v>
      </c>
      <c r="O58" s="106">
        <f>M58*D58/100</f>
        <v>1.0292380314502041</v>
      </c>
      <c r="P58" s="68" t="s">
        <v>100</v>
      </c>
      <c r="Q58" s="83"/>
      <c r="R58" s="25"/>
      <c r="S58" s="136">
        <f>SUM(S59:S67)</f>
        <v>35.701044444444449</v>
      </c>
      <c r="T58" s="137">
        <f>C58/$C$10*100</f>
        <v>2.8801369897884599</v>
      </c>
      <c r="U58" s="138">
        <f>M58*T58/100</f>
        <v>1.0282389867852624</v>
      </c>
    </row>
    <row r="59" spans="1:29" s="3" customFormat="1" ht="15.75" customHeight="1" x14ac:dyDescent="0.25">
      <c r="A59" s="46" t="s">
        <v>76</v>
      </c>
      <c r="B59" s="130" t="s">
        <v>45</v>
      </c>
      <c r="C59" s="129">
        <v>25000000</v>
      </c>
      <c r="D59" s="86">
        <f>C59/$C$58*100</f>
        <v>0.50505050505050508</v>
      </c>
      <c r="E59" s="23">
        <f>(0)/$C$59*100</f>
        <v>0</v>
      </c>
      <c r="F59" s="23">
        <f>(0+14475000)/$C$59*100</f>
        <v>57.9</v>
      </c>
      <c r="G59" s="23">
        <f>(0+14475000+4825000)/$C$59*100</f>
        <v>77.2</v>
      </c>
      <c r="H59" s="23">
        <f>(0+14475000+4825000+5700000)/$C$59*100</f>
        <v>100</v>
      </c>
      <c r="I59" s="57">
        <v>0</v>
      </c>
      <c r="J59" s="57">
        <v>0</v>
      </c>
      <c r="K59" s="57">
        <f t="shared" ref="K59:K67" si="42">I59+J59</f>
        <v>0</v>
      </c>
      <c r="L59" s="23">
        <f t="shared" ref="L59:L67" si="43">K59/C59*100</f>
        <v>0</v>
      </c>
      <c r="M59" s="90">
        <v>47.168799999999997</v>
      </c>
      <c r="N59" s="23">
        <f>L59*D59/100</f>
        <v>0</v>
      </c>
      <c r="O59" s="23">
        <f>M59*D59/100</f>
        <v>0.23822626262626262</v>
      </c>
      <c r="P59" s="18"/>
      <c r="Q59" s="85"/>
      <c r="R59" s="25">
        <f t="shared" ref="R59:R67" si="44">C59/$C$58*100</f>
        <v>0.50505050505050508</v>
      </c>
      <c r="S59" s="26">
        <f t="shared" ref="S59:S67" si="45">M59*R59/100</f>
        <v>0.23822626262626262</v>
      </c>
    </row>
    <row r="60" spans="1:29" s="3" customFormat="1" ht="15.75" customHeight="1" x14ac:dyDescent="0.25">
      <c r="A60" s="46" t="s">
        <v>77</v>
      </c>
      <c r="B60" s="130" t="s">
        <v>46</v>
      </c>
      <c r="C60" s="129">
        <v>30000000</v>
      </c>
      <c r="D60" s="86">
        <f t="shared" ref="D60:D67" si="46">C60/$C$58*100</f>
        <v>0.60606060606060608</v>
      </c>
      <c r="E60" s="23">
        <f>(27150000)/$C$60*100</f>
        <v>90.5</v>
      </c>
      <c r="F60" s="23">
        <f>(27150000+2850000)/$C$60*100</f>
        <v>100</v>
      </c>
      <c r="G60" s="23">
        <f>(27150000+2850000)/$C$60*100</f>
        <v>100</v>
      </c>
      <c r="H60" s="23">
        <f>(27150000+2850000)/$C$60*100</f>
        <v>100</v>
      </c>
      <c r="I60" s="57">
        <v>0</v>
      </c>
      <c r="J60" s="57">
        <v>0</v>
      </c>
      <c r="K60" s="57">
        <f t="shared" si="42"/>
        <v>0</v>
      </c>
      <c r="L60" s="23">
        <f t="shared" si="43"/>
        <v>0</v>
      </c>
      <c r="M60" s="90">
        <v>19.698333333333331</v>
      </c>
      <c r="N60" s="23">
        <f t="shared" ref="N60" si="47">L60*D60/100</f>
        <v>0</v>
      </c>
      <c r="O60" s="23">
        <f t="shared" ref="O60" si="48">M60*D60/100</f>
        <v>0.11938383838383837</v>
      </c>
      <c r="P60" s="18"/>
      <c r="Q60" s="85"/>
      <c r="R60" s="25">
        <f t="shared" si="44"/>
        <v>0.60606060606060608</v>
      </c>
      <c r="S60" s="26">
        <f t="shared" si="45"/>
        <v>0.11938383838383837</v>
      </c>
      <c r="X60" s="3" t="s">
        <v>155</v>
      </c>
    </row>
    <row r="61" spans="1:29" s="3" customFormat="1" ht="31.5" customHeight="1" x14ac:dyDescent="0.25">
      <c r="A61" s="46" t="s">
        <v>78</v>
      </c>
      <c r="B61" s="130" t="s">
        <v>47</v>
      </c>
      <c r="C61" s="129">
        <v>350000000</v>
      </c>
      <c r="D61" s="86">
        <f t="shared" si="46"/>
        <v>7.0707070707070701</v>
      </c>
      <c r="E61" s="23">
        <f>(95000000)/$C$61*100</f>
        <v>27.142857142857142</v>
      </c>
      <c r="F61" s="23">
        <f>(95000000+95000000)/$C$61*100</f>
        <v>54.285714285714285</v>
      </c>
      <c r="G61" s="23">
        <f>(95000000+95000000+95000000)/$C$61*100</f>
        <v>81.428571428571431</v>
      </c>
      <c r="H61" s="23">
        <f>(95000000+95000000+95000000+65000000)/$C$61*100</f>
        <v>100</v>
      </c>
      <c r="I61" s="57">
        <v>0</v>
      </c>
      <c r="J61" s="57">
        <v>0</v>
      </c>
      <c r="K61" s="57">
        <f t="shared" si="42"/>
        <v>0</v>
      </c>
      <c r="L61" s="23">
        <f t="shared" si="43"/>
        <v>0</v>
      </c>
      <c r="M61" s="90">
        <v>55</v>
      </c>
      <c r="N61" s="23">
        <f>L61*D61/100</f>
        <v>0</v>
      </c>
      <c r="O61" s="23">
        <f>M61*D61/100</f>
        <v>3.8888888888888884</v>
      </c>
      <c r="P61" s="18"/>
      <c r="Q61" s="85"/>
      <c r="R61" s="25">
        <f t="shared" si="44"/>
        <v>7.0707070707070701</v>
      </c>
      <c r="S61" s="26">
        <f t="shared" si="45"/>
        <v>3.8888888888888884</v>
      </c>
      <c r="X61" s="3" t="s">
        <v>156</v>
      </c>
      <c r="Y61" s="3">
        <v>60000000</v>
      </c>
      <c r="Z61" s="94">
        <f>Y61/$C$63</f>
        <v>5.4545454545454543E-2</v>
      </c>
      <c r="AA61" s="95">
        <f>Z61</f>
        <v>5.4545454545454543E-2</v>
      </c>
      <c r="AB61" s="95">
        <f>AA61</f>
        <v>5.4545454545454543E-2</v>
      </c>
      <c r="AC61" s="95">
        <f>Z61</f>
        <v>5.4545454545454543E-2</v>
      </c>
    </row>
    <row r="62" spans="1:29" s="3" customFormat="1" ht="35.25" customHeight="1" x14ac:dyDescent="0.25">
      <c r="A62" s="39" t="s">
        <v>79</v>
      </c>
      <c r="B62" s="130" t="s">
        <v>168</v>
      </c>
      <c r="C62" s="129">
        <v>2500000000</v>
      </c>
      <c r="D62" s="86">
        <f t="shared" si="46"/>
        <v>50.505050505050505</v>
      </c>
      <c r="E62" s="23">
        <f>(250000000)/$C$62*100</f>
        <v>10</v>
      </c>
      <c r="F62" s="23">
        <f>(250000000+1258316000)/$C$62*100</f>
        <v>60.332640000000005</v>
      </c>
      <c r="G62" s="23">
        <f>(250000000+1258316000+491684000)/$C$62*100</f>
        <v>80</v>
      </c>
      <c r="H62" s="23">
        <f>(250000000+1258316000+491684000+500000000)/$C$62*100</f>
        <v>100</v>
      </c>
      <c r="I62" s="57">
        <v>0</v>
      </c>
      <c r="J62" s="57">
        <v>0</v>
      </c>
      <c r="K62" s="57">
        <f t="shared" si="42"/>
        <v>0</v>
      </c>
      <c r="L62" s="23">
        <f t="shared" si="43"/>
        <v>0</v>
      </c>
      <c r="M62" s="90">
        <v>40</v>
      </c>
      <c r="N62" s="23">
        <f t="shared" ref="N62" si="49">L62*D62/100</f>
        <v>0</v>
      </c>
      <c r="O62" s="23">
        <f t="shared" ref="O62" si="50">M62*D62/100</f>
        <v>20.202020202020204</v>
      </c>
      <c r="P62" s="18"/>
      <c r="Q62" s="85"/>
      <c r="R62" s="25">
        <f t="shared" si="44"/>
        <v>50.505050505050505</v>
      </c>
      <c r="S62" s="26">
        <f t="shared" si="45"/>
        <v>20.202020202020204</v>
      </c>
      <c r="X62" s="3" t="s">
        <v>157</v>
      </c>
      <c r="Y62" s="3">
        <v>90280000</v>
      </c>
      <c r="Z62" s="94">
        <f t="shared" ref="Z62:Z65" si="51">Y62/$C$63</f>
        <v>8.2072727272727269E-2</v>
      </c>
      <c r="AA62" s="95">
        <f>Z62</f>
        <v>8.2072727272727269E-2</v>
      </c>
      <c r="AB62" s="95">
        <f>AA62</f>
        <v>8.2072727272727269E-2</v>
      </c>
      <c r="AC62" s="95">
        <f>Z62</f>
        <v>8.2072727272727269E-2</v>
      </c>
    </row>
    <row r="63" spans="1:29" s="3" customFormat="1" ht="21" customHeight="1" x14ac:dyDescent="0.25">
      <c r="A63" s="39" t="s">
        <v>80</v>
      </c>
      <c r="B63" s="130" t="s">
        <v>155</v>
      </c>
      <c r="C63" s="129">
        <v>1100000000</v>
      </c>
      <c r="D63" s="86">
        <f t="shared" si="46"/>
        <v>22.222222222222221</v>
      </c>
      <c r="E63" s="23">
        <f>(352475000)/$C$63*100</f>
        <v>32.043181818181822</v>
      </c>
      <c r="F63" s="23">
        <f>(352475000+505673333)/$C$63*100</f>
        <v>78.013484818181823</v>
      </c>
      <c r="G63" s="23">
        <f>(352475000+505673333+102962334)/$C$63*100</f>
        <v>87.373696999999993</v>
      </c>
      <c r="H63" s="23">
        <f>(352475000+505673333+102962334+138889333)/$C$63*100</f>
        <v>100</v>
      </c>
      <c r="I63" s="57">
        <v>0</v>
      </c>
      <c r="J63" s="57">
        <v>63183861</v>
      </c>
      <c r="K63" s="57">
        <f t="shared" si="42"/>
        <v>63183861</v>
      </c>
      <c r="L63" s="23">
        <f t="shared" si="43"/>
        <v>5.7439873636363634</v>
      </c>
      <c r="M63" s="90">
        <v>25</v>
      </c>
      <c r="N63" s="23">
        <f>L63*D63/100</f>
        <v>1.2764416363636364</v>
      </c>
      <c r="O63" s="23">
        <f>M63*D63/100</f>
        <v>5.5555555555555554</v>
      </c>
      <c r="P63" s="18"/>
      <c r="Q63" s="85"/>
      <c r="R63" s="25">
        <f t="shared" si="44"/>
        <v>22.222222222222221</v>
      </c>
      <c r="S63" s="26">
        <f t="shared" si="45"/>
        <v>5.5555555555555554</v>
      </c>
      <c r="X63" s="3" t="s">
        <v>158</v>
      </c>
      <c r="Y63" s="3">
        <v>421065500</v>
      </c>
      <c r="Z63" s="94">
        <f t="shared" si="51"/>
        <v>0.3827868181818182</v>
      </c>
      <c r="AA63" s="94">
        <f>Z63*0.7</f>
        <v>0.26795077272727275</v>
      </c>
      <c r="AB63" s="95">
        <f>Z63*0.85</f>
        <v>0.32536879545454545</v>
      </c>
      <c r="AC63" s="95">
        <f>Z63</f>
        <v>0.3827868181818182</v>
      </c>
    </row>
    <row r="64" spans="1:29" s="3" customFormat="1" ht="23.25" customHeight="1" x14ac:dyDescent="0.25">
      <c r="A64" s="39" t="s">
        <v>80</v>
      </c>
      <c r="B64" s="130" t="s">
        <v>48</v>
      </c>
      <c r="C64" s="129">
        <v>150000000</v>
      </c>
      <c r="D64" s="86">
        <f t="shared" si="46"/>
        <v>3.0303030303030303</v>
      </c>
      <c r="E64" s="23">
        <f>(8413500)/$C$64*100</f>
        <v>5.609</v>
      </c>
      <c r="F64" s="23">
        <f>(8413500+132768000)/$C$64*100</f>
        <v>94.120999999999995</v>
      </c>
      <c r="G64" s="23">
        <f>(8413500+132768000+8818500)/$C$64*100</f>
        <v>100</v>
      </c>
      <c r="H64" s="23">
        <f>(8413500+132768000+8818500)/$C$64*100</f>
        <v>100</v>
      </c>
      <c r="I64" s="57">
        <v>0</v>
      </c>
      <c r="J64" s="57">
        <v>0</v>
      </c>
      <c r="K64" s="57">
        <f t="shared" si="42"/>
        <v>0</v>
      </c>
      <c r="L64" s="23">
        <f t="shared" si="43"/>
        <v>0</v>
      </c>
      <c r="M64" s="90">
        <v>1.5</v>
      </c>
      <c r="N64" s="23">
        <f t="shared" ref="N64" si="52">L64*D64/100</f>
        <v>0</v>
      </c>
      <c r="O64" s="23">
        <f t="shared" ref="O64" si="53">M64*D64/100</f>
        <v>4.5454545454545449E-2</v>
      </c>
      <c r="P64" s="18"/>
      <c r="Q64" s="85"/>
      <c r="R64" s="25">
        <f t="shared" si="44"/>
        <v>3.0303030303030303</v>
      </c>
      <c r="S64" s="26">
        <f t="shared" si="45"/>
        <v>4.5454545454545449E-2</v>
      </c>
      <c r="X64" s="3" t="s">
        <v>159</v>
      </c>
      <c r="Y64" s="3">
        <v>10000000</v>
      </c>
      <c r="Z64" s="94">
        <f t="shared" si="51"/>
        <v>9.0909090909090905E-3</v>
      </c>
    </row>
    <row r="65" spans="1:29" s="3" customFormat="1" ht="33" customHeight="1" x14ac:dyDescent="0.25">
      <c r="A65" s="46" t="s">
        <v>81</v>
      </c>
      <c r="B65" s="130" t="s">
        <v>169</v>
      </c>
      <c r="C65" s="129">
        <v>450000000</v>
      </c>
      <c r="D65" s="86">
        <f t="shared" si="46"/>
        <v>9.0909090909090917</v>
      </c>
      <c r="E65" s="23">
        <f>(0)/$C$65*100</f>
        <v>0</v>
      </c>
      <c r="F65" s="23">
        <f>(0)/$C$65*100</f>
        <v>0</v>
      </c>
      <c r="G65" s="23">
        <f>(0+450000000)/$C$65*100</f>
        <v>100</v>
      </c>
      <c r="H65" s="23">
        <f>(0+450000000)/$C$65*100</f>
        <v>100</v>
      </c>
      <c r="I65" s="57">
        <v>0</v>
      </c>
      <c r="J65" s="57">
        <v>0</v>
      </c>
      <c r="K65" s="57">
        <f t="shared" si="42"/>
        <v>0</v>
      </c>
      <c r="L65" s="23">
        <f t="shared" si="43"/>
        <v>0</v>
      </c>
      <c r="M65" s="90">
        <v>50</v>
      </c>
      <c r="N65" s="23">
        <f>L65*D65/100</f>
        <v>0</v>
      </c>
      <c r="O65" s="23">
        <f>M65*D65/100</f>
        <v>4.5454545454545459</v>
      </c>
      <c r="P65" s="18"/>
      <c r="Q65" s="85"/>
      <c r="R65" s="25">
        <f t="shared" si="44"/>
        <v>9.0909090909090917</v>
      </c>
      <c r="S65" s="26">
        <f t="shared" si="45"/>
        <v>4.5454545454545459</v>
      </c>
      <c r="X65" s="3" t="s">
        <v>160</v>
      </c>
      <c r="Y65" s="93">
        <f>C63-(Y64+Y63+Y62+Y61)</f>
        <v>518654500</v>
      </c>
      <c r="Z65" s="94">
        <f t="shared" si="51"/>
        <v>0.4715040909090909</v>
      </c>
      <c r="AA65" s="95">
        <f>Z65</f>
        <v>0.4715040909090909</v>
      </c>
      <c r="AB65" s="95">
        <f>AA65</f>
        <v>0.4715040909090909</v>
      </c>
      <c r="AC65" s="95">
        <f>Z65</f>
        <v>0.4715040909090909</v>
      </c>
    </row>
    <row r="66" spans="1:29" s="3" customFormat="1" ht="16.5" customHeight="1" x14ac:dyDescent="0.25">
      <c r="A66" s="46" t="s">
        <v>148</v>
      </c>
      <c r="B66" s="128" t="s">
        <v>170</v>
      </c>
      <c r="C66" s="131">
        <v>250000000</v>
      </c>
      <c r="D66" s="86">
        <f t="shared" si="46"/>
        <v>5.0505050505050502</v>
      </c>
      <c r="E66" s="23">
        <f>(0)/$C$66*100</f>
        <v>0</v>
      </c>
      <c r="F66" s="23">
        <f>(0)/$C$66*100</f>
        <v>0</v>
      </c>
      <c r="G66" s="23">
        <f>(0+250000000)/$C$66*100</f>
        <v>100</v>
      </c>
      <c r="H66" s="23">
        <f>(0+250000000)/$C$66*100</f>
        <v>100</v>
      </c>
      <c r="I66" s="57">
        <v>0</v>
      </c>
      <c r="J66" s="57">
        <v>0</v>
      </c>
      <c r="K66" s="57">
        <f t="shared" si="42"/>
        <v>0</v>
      </c>
      <c r="L66" s="23">
        <f t="shared" si="43"/>
        <v>0</v>
      </c>
      <c r="M66" s="90">
        <v>20</v>
      </c>
      <c r="N66" s="23">
        <f>L66*D66/100</f>
        <v>0</v>
      </c>
      <c r="O66" s="23">
        <f t="shared" ref="O66:O67" si="54">M66*D66/100</f>
        <v>1.0101010101010102</v>
      </c>
      <c r="P66" s="18"/>
      <c r="Q66" s="85"/>
      <c r="R66" s="25">
        <f t="shared" si="44"/>
        <v>5.0505050505050502</v>
      </c>
      <c r="S66" s="26">
        <f t="shared" si="45"/>
        <v>1.0101010101010102</v>
      </c>
      <c r="Z66" s="95">
        <f>SUM(Z61:Z65)</f>
        <v>1</v>
      </c>
      <c r="AA66" s="95">
        <f>SUM(AA61:AA65)</f>
        <v>0.87607304545454545</v>
      </c>
      <c r="AB66" s="95">
        <f>SUM(AB61:AB65)</f>
        <v>0.93349106818181815</v>
      </c>
      <c r="AC66" s="95">
        <f>SUM(AC61:AC65)</f>
        <v>0.99090909090909096</v>
      </c>
    </row>
    <row r="67" spans="1:29" s="3" customFormat="1" ht="21.75" customHeight="1" x14ac:dyDescent="0.25">
      <c r="A67" s="46" t="s">
        <v>149</v>
      </c>
      <c r="B67" s="128" t="s">
        <v>171</v>
      </c>
      <c r="C67" s="131">
        <v>95000000</v>
      </c>
      <c r="D67" s="86">
        <f t="shared" si="46"/>
        <v>1.9191919191919191</v>
      </c>
      <c r="E67" s="23">
        <f>(0)/$C$67*100</f>
        <v>0</v>
      </c>
      <c r="F67" s="23">
        <f>(0)/$C$67*100</f>
        <v>0</v>
      </c>
      <c r="G67" s="23">
        <f>(0+95000000)/$C$67*100</f>
        <v>100</v>
      </c>
      <c r="H67" s="23">
        <f>(0+95000000)/$C$67*100</f>
        <v>100</v>
      </c>
      <c r="I67" s="57">
        <v>0</v>
      </c>
      <c r="J67" s="57">
        <v>0</v>
      </c>
      <c r="K67" s="57">
        <f t="shared" si="42"/>
        <v>0</v>
      </c>
      <c r="L67" s="23">
        <f t="shared" si="43"/>
        <v>0</v>
      </c>
      <c r="M67" s="90">
        <v>5</v>
      </c>
      <c r="N67" s="23">
        <f>L67*D67/100</f>
        <v>0</v>
      </c>
      <c r="O67" s="23">
        <f t="shared" si="54"/>
        <v>9.5959595959595953E-2</v>
      </c>
      <c r="P67" s="18"/>
      <c r="Q67" s="85"/>
      <c r="R67" s="25">
        <f t="shared" si="44"/>
        <v>1.9191919191919191</v>
      </c>
      <c r="S67" s="26">
        <f t="shared" si="45"/>
        <v>9.5959595959595953E-2</v>
      </c>
    </row>
    <row r="68" spans="1:29" s="3" customFormat="1" x14ac:dyDescent="0.25">
      <c r="A68" s="47"/>
      <c r="B68" s="91"/>
      <c r="C68" s="12"/>
      <c r="D68" s="86"/>
      <c r="E68" s="23"/>
      <c r="F68" s="23"/>
      <c r="G68" s="23"/>
      <c r="H68" s="23"/>
      <c r="I68" s="56"/>
      <c r="J68" s="57"/>
      <c r="K68" s="57"/>
      <c r="L68" s="23"/>
      <c r="M68" s="23"/>
      <c r="N68" s="23"/>
      <c r="O68" s="23"/>
      <c r="P68" s="18"/>
      <c r="Q68" s="85"/>
      <c r="R68" s="25"/>
      <c r="S68" s="26"/>
    </row>
    <row r="69" spans="1:29" ht="25.5" customHeight="1" x14ac:dyDescent="0.25">
      <c r="A69" s="42"/>
      <c r="B69" s="20" t="s">
        <v>49</v>
      </c>
      <c r="C69" s="104">
        <f>SUM(C70:C93)</f>
        <v>28930000000</v>
      </c>
      <c r="D69" s="105">
        <f>C69/$C$15*100</f>
        <v>16.849155503785674</v>
      </c>
      <c r="E69" s="106">
        <f>(3474974200)/$C$69*100</f>
        <v>12.011663325267888</v>
      </c>
      <c r="F69" s="106">
        <f>(3474974200+1730390000)/$C$69*100</f>
        <v>17.99296301417214</v>
      </c>
      <c r="G69" s="106">
        <f>(3474974200+1730390000+13990049900)/$C$69*100</f>
        <v>66.351241272035949</v>
      </c>
      <c r="H69" s="106">
        <f>(3474974200+1730390000+13990049900+9734585900)/$C$69*100</f>
        <v>100</v>
      </c>
      <c r="I69" s="58">
        <f>SUM(I70:I93)</f>
        <v>247560000</v>
      </c>
      <c r="J69" s="58">
        <f>SUM(J70:J93)</f>
        <v>1429920400</v>
      </c>
      <c r="K69" s="58">
        <f>SUM(K70:K93)</f>
        <v>1677480400</v>
      </c>
      <c r="L69" s="106">
        <f>K69/C69*100</f>
        <v>5.7984113377117179</v>
      </c>
      <c r="M69" s="106">
        <f>S69</f>
        <v>14.329529899758038</v>
      </c>
      <c r="N69" s="106">
        <f>L69*D69/100</f>
        <v>0.97698334304018641</v>
      </c>
      <c r="O69" s="106">
        <f>M69*D69/100</f>
        <v>2.4144047757716951</v>
      </c>
      <c r="P69" s="68" t="s">
        <v>100</v>
      </c>
      <c r="Q69" s="83"/>
      <c r="R69" s="25"/>
      <c r="S69" s="116">
        <f>SUM(S70:S93)</f>
        <v>14.329529899758038</v>
      </c>
      <c r="T69" s="25">
        <f>C69/$C$10*100</f>
        <v>16.832800629208108</v>
      </c>
      <c r="U69" s="26">
        <f>M69*T69/100</f>
        <v>2.412061199129035</v>
      </c>
    </row>
    <row r="70" spans="1:29" s="3" customFormat="1" ht="19.5" customHeight="1" x14ac:dyDescent="0.25">
      <c r="A70" s="39" t="s">
        <v>82</v>
      </c>
      <c r="B70" s="133" t="s">
        <v>50</v>
      </c>
      <c r="C70" s="132">
        <v>30000000</v>
      </c>
      <c r="D70" s="89">
        <f>C70/$C$69*100</f>
        <v>0.10369858278603526</v>
      </c>
      <c r="E70" s="23">
        <f>(0)/$C$70*100</f>
        <v>0</v>
      </c>
      <c r="F70" s="23">
        <f>(0+21360000)/$C$70*100</f>
        <v>71.2</v>
      </c>
      <c r="G70" s="23">
        <f>(0+21360000+8640000)/$C$70*100</f>
        <v>100</v>
      </c>
      <c r="H70" s="23">
        <f>(0+21360000+8640000)/$C$70*100</f>
        <v>100</v>
      </c>
      <c r="I70" s="57">
        <v>0</v>
      </c>
      <c r="J70" s="57">
        <v>0</v>
      </c>
      <c r="K70" s="57">
        <f t="shared" ref="K70:K93" si="55">I70+J70</f>
        <v>0</v>
      </c>
      <c r="L70" s="23">
        <f t="shared" ref="L70:L93" si="56">K70/C70*100</f>
        <v>0</v>
      </c>
      <c r="M70" s="90">
        <v>4.53</v>
      </c>
      <c r="N70" s="23">
        <f>L70*D70/100</f>
        <v>0</v>
      </c>
      <c r="O70" s="180">
        <f>M70*D70/100</f>
        <v>4.6975458002073978E-3</v>
      </c>
      <c r="P70" s="18"/>
      <c r="Q70" s="85"/>
      <c r="R70" s="25">
        <f t="shared" ref="R70:R93" si="57">C70/$C$69*100</f>
        <v>0.10369858278603526</v>
      </c>
      <c r="S70" s="26">
        <f t="shared" ref="S70:S93" si="58">M70*R70/100</f>
        <v>4.6975458002073978E-3</v>
      </c>
    </row>
    <row r="71" spans="1:29" s="3" customFormat="1" ht="32.25" customHeight="1" x14ac:dyDescent="0.25">
      <c r="A71" s="39" t="s">
        <v>83</v>
      </c>
      <c r="B71" s="133" t="s">
        <v>172</v>
      </c>
      <c r="C71" s="132">
        <v>300000000</v>
      </c>
      <c r="D71" s="89">
        <f t="shared" ref="D71:D93" si="59">C71/$C$69*100</f>
        <v>1.0369858278603528</v>
      </c>
      <c r="E71" s="23">
        <f>(300000000)/$C$71*100</f>
        <v>100</v>
      </c>
      <c r="F71" s="23">
        <f>(300000000)/$C$71*100</f>
        <v>100</v>
      </c>
      <c r="G71" s="23">
        <f>(300000000)/$C$71*100</f>
        <v>100</v>
      </c>
      <c r="H71" s="23">
        <f>(300000000)/$C$71*100</f>
        <v>100</v>
      </c>
      <c r="I71" s="57">
        <v>247560000</v>
      </c>
      <c r="J71" s="57">
        <v>0</v>
      </c>
      <c r="K71" s="57">
        <f t="shared" si="55"/>
        <v>247560000</v>
      </c>
      <c r="L71" s="23">
        <f t="shared" si="56"/>
        <v>82.52000000000001</v>
      </c>
      <c r="M71" s="90">
        <v>100</v>
      </c>
      <c r="N71" s="23">
        <f t="shared" ref="N71" si="60">L71*D71/100</f>
        <v>0.85572070515036314</v>
      </c>
      <c r="O71" s="23">
        <f t="shared" ref="O71" si="61">M71*D71/100</f>
        <v>1.0369858278603528</v>
      </c>
      <c r="P71" s="18"/>
      <c r="Q71" s="85"/>
      <c r="R71" s="25">
        <f t="shared" si="57"/>
        <v>1.0369858278603528</v>
      </c>
      <c r="S71" s="26">
        <f t="shared" si="58"/>
        <v>1.0369858278603528</v>
      </c>
    </row>
    <row r="72" spans="1:29" s="3" customFormat="1" ht="21.75" customHeight="1" x14ac:dyDescent="0.25">
      <c r="A72" s="39" t="s">
        <v>84</v>
      </c>
      <c r="B72" s="133" t="s">
        <v>51</v>
      </c>
      <c r="C72" s="132">
        <v>350000000</v>
      </c>
      <c r="D72" s="89">
        <f t="shared" si="59"/>
        <v>1.2098167991704112</v>
      </c>
      <c r="E72" s="23">
        <f>(100000000)/$C$72*100</f>
        <v>28.571428571428569</v>
      </c>
      <c r="F72" s="23">
        <f>(100000000+100000000)/$C$72*100</f>
        <v>57.142857142857139</v>
      </c>
      <c r="G72" s="23">
        <f>(100000000+100000000+100000000)/$C$72*100</f>
        <v>85.714285714285708</v>
      </c>
      <c r="H72" s="23">
        <f>(100000000+100000000+100000000+50000000)/$C$72*100</f>
        <v>100</v>
      </c>
      <c r="I72" s="57">
        <v>0</v>
      </c>
      <c r="J72" s="57">
        <v>11138709</v>
      </c>
      <c r="K72" s="57">
        <f t="shared" si="55"/>
        <v>11138709</v>
      </c>
      <c r="L72" s="23">
        <f t="shared" si="56"/>
        <v>3.1824882857142853</v>
      </c>
      <c r="M72" s="90">
        <v>24.58</v>
      </c>
      <c r="N72" s="23">
        <f>L72*D72/100</f>
        <v>3.8502277912201857E-2</v>
      </c>
      <c r="O72" s="23">
        <f>M72*D72/100</f>
        <v>0.29737296923608708</v>
      </c>
      <c r="P72" s="18"/>
      <c r="Q72" s="85"/>
      <c r="R72" s="25">
        <f t="shared" si="57"/>
        <v>1.2098167991704112</v>
      </c>
      <c r="S72" s="26">
        <f t="shared" si="58"/>
        <v>0.29737296923608708</v>
      </c>
    </row>
    <row r="73" spans="1:29" s="3" customFormat="1" ht="24" customHeight="1" x14ac:dyDescent="0.25">
      <c r="A73" s="39" t="s">
        <v>85</v>
      </c>
      <c r="B73" s="139" t="s">
        <v>52</v>
      </c>
      <c r="C73" s="132">
        <v>350000000</v>
      </c>
      <c r="D73" s="89">
        <f t="shared" si="59"/>
        <v>1.2098167991704112</v>
      </c>
      <c r="E73" s="23">
        <f>(238430000)/$C$73*100</f>
        <v>68.122857142857143</v>
      </c>
      <c r="F73" s="23">
        <f>(238430000+99202000)/$C$73*100</f>
        <v>96.466285714285718</v>
      </c>
      <c r="G73" s="23">
        <f>(238430000+99202000+5000000)/$C$73*100</f>
        <v>97.894857142857134</v>
      </c>
      <c r="H73" s="23">
        <f>(238430000+99202000+5000000+7368000)/$C$73*100</f>
        <v>100</v>
      </c>
      <c r="I73" s="57">
        <v>0</v>
      </c>
      <c r="J73" s="57">
        <f>321689280+1322400</f>
        <v>323011680</v>
      </c>
      <c r="K73" s="57">
        <f t="shared" si="55"/>
        <v>323011680</v>
      </c>
      <c r="L73" s="23">
        <f t="shared" si="56"/>
        <v>92.28905142857144</v>
      </c>
      <c r="M73" s="90">
        <v>94.89</v>
      </c>
      <c r="N73" s="23">
        <f t="shared" ref="N73" si="62">L73*D73/100</f>
        <v>1.1165284479778776</v>
      </c>
      <c r="O73" s="23">
        <f t="shared" ref="O73" si="63">M73*D73/100</f>
        <v>1.1479951607328032</v>
      </c>
      <c r="P73" s="18"/>
      <c r="Q73" s="85"/>
      <c r="R73" s="25">
        <f t="shared" si="57"/>
        <v>1.2098167991704112</v>
      </c>
      <c r="S73" s="26">
        <f t="shared" si="58"/>
        <v>1.1479951607328032</v>
      </c>
    </row>
    <row r="74" spans="1:29" s="3" customFormat="1" ht="21" customHeight="1" x14ac:dyDescent="0.25">
      <c r="A74" s="39" t="s">
        <v>86</v>
      </c>
      <c r="B74" s="133" t="s">
        <v>53</v>
      </c>
      <c r="C74" s="132">
        <v>250000000</v>
      </c>
      <c r="D74" s="89">
        <f t="shared" si="59"/>
        <v>0.86415485655029389</v>
      </c>
      <c r="E74" s="23">
        <f>(70248000)/$C$74*100</f>
        <v>28.099200000000003</v>
      </c>
      <c r="F74" s="23">
        <f>(70248000+112648000)/$C$74*100</f>
        <v>73.1584</v>
      </c>
      <c r="G74" s="23">
        <f>(70248000+112648000+59648000)/$C$74*100</f>
        <v>97.017600000000002</v>
      </c>
      <c r="H74" s="23">
        <f>(70248000+112648000+59648000+7456000)/$C$74*100</f>
        <v>100</v>
      </c>
      <c r="I74" s="57">
        <v>0</v>
      </c>
      <c r="J74" s="57">
        <v>4540000</v>
      </c>
      <c r="K74" s="57">
        <f t="shared" si="55"/>
        <v>4540000</v>
      </c>
      <c r="L74" s="23">
        <f t="shared" si="56"/>
        <v>1.8159999999999998</v>
      </c>
      <c r="M74" s="90">
        <v>24.77</v>
      </c>
      <c r="N74" s="23">
        <f>L74*D74/100</f>
        <v>1.5693052194953337E-2</v>
      </c>
      <c r="O74" s="23">
        <f>M74*D74/100</f>
        <v>0.21405115796750779</v>
      </c>
      <c r="P74" s="18"/>
      <c r="Q74" s="85"/>
      <c r="R74" s="25">
        <f t="shared" si="57"/>
        <v>0.86415485655029389</v>
      </c>
      <c r="S74" s="26">
        <f t="shared" si="58"/>
        <v>0.21405115796750779</v>
      </c>
    </row>
    <row r="75" spans="1:29" s="3" customFormat="1" ht="36.75" customHeight="1" x14ac:dyDescent="0.25">
      <c r="A75" s="39" t="s">
        <v>87</v>
      </c>
      <c r="B75" s="140" t="s">
        <v>173</v>
      </c>
      <c r="C75" s="132">
        <v>700000000</v>
      </c>
      <c r="D75" s="89">
        <f t="shared" si="59"/>
        <v>2.4196335983408224</v>
      </c>
      <c r="E75" s="23">
        <f>(214337000)/$C$75*100</f>
        <v>30.61957142857143</v>
      </c>
      <c r="F75" s="23">
        <f>(214337000+214337000)/$C$75*100</f>
        <v>61.239142857142859</v>
      </c>
      <c r="G75" s="23">
        <f>(214337000+214337000+213337000)/$C$75*100</f>
        <v>91.715857142857132</v>
      </c>
      <c r="H75" s="23">
        <f>(214337000+214337000+213337000+57989000)/$C$75*100</f>
        <v>100</v>
      </c>
      <c r="I75" s="57">
        <v>0</v>
      </c>
      <c r="J75" s="57">
        <v>41081000</v>
      </c>
      <c r="K75" s="57">
        <f t="shared" si="55"/>
        <v>41081000</v>
      </c>
      <c r="L75" s="23">
        <f t="shared" si="56"/>
        <v>5.8687142857142858</v>
      </c>
      <c r="M75" s="90">
        <v>25.59</v>
      </c>
      <c r="N75" s="23">
        <f t="shared" ref="N75" si="64">L75*D75/100</f>
        <v>0.14200138264777046</v>
      </c>
      <c r="O75" s="23">
        <f t="shared" ref="O75" si="65">M75*D75/100</f>
        <v>0.61918423781541643</v>
      </c>
      <c r="P75" s="18"/>
      <c r="Q75" s="85"/>
      <c r="R75" s="25">
        <f t="shared" si="57"/>
        <v>2.4196335983408224</v>
      </c>
      <c r="S75" s="26">
        <f t="shared" si="58"/>
        <v>0.61918423781541643</v>
      </c>
    </row>
    <row r="76" spans="1:29" s="3" customFormat="1" ht="24.75" customHeight="1" x14ac:dyDescent="0.25">
      <c r="A76" s="39" t="s">
        <v>88</v>
      </c>
      <c r="B76" s="140" t="s">
        <v>54</v>
      </c>
      <c r="C76" s="132">
        <v>300000000</v>
      </c>
      <c r="D76" s="89">
        <f t="shared" si="59"/>
        <v>1.0369858278603528</v>
      </c>
      <c r="E76" s="23">
        <f>(100000000)/$C$76*100</f>
        <v>33.333333333333329</v>
      </c>
      <c r="F76" s="23">
        <f>(100000000+98545000)/$C$76*100</f>
        <v>66.181666666666672</v>
      </c>
      <c r="G76" s="23">
        <f>(100000000+98545000+95635000)/$C$76*100</f>
        <v>98.06</v>
      </c>
      <c r="H76" s="23">
        <f>(100000000+98545000+95635000+5820000)/$C$76*100</f>
        <v>100</v>
      </c>
      <c r="I76" s="57">
        <v>0</v>
      </c>
      <c r="J76" s="57">
        <v>34047261</v>
      </c>
      <c r="K76" s="57">
        <f t="shared" si="55"/>
        <v>34047261</v>
      </c>
      <c r="L76" s="23">
        <f t="shared" si="56"/>
        <v>11.349086999999999</v>
      </c>
      <c r="M76" s="90">
        <v>23.53</v>
      </c>
      <c r="N76" s="23">
        <f>L76*D76/100</f>
        <v>0.11768842378154167</v>
      </c>
      <c r="O76" s="23">
        <f>M76*D76/100</f>
        <v>0.24400276529554102</v>
      </c>
      <c r="P76" s="18"/>
      <c r="Q76" s="85"/>
      <c r="R76" s="25">
        <f t="shared" si="57"/>
        <v>1.0369858278603528</v>
      </c>
      <c r="S76" s="26">
        <f t="shared" si="58"/>
        <v>0.24400276529554102</v>
      </c>
    </row>
    <row r="77" spans="1:29" s="3" customFormat="1" ht="22.5" customHeight="1" x14ac:dyDescent="0.25">
      <c r="A77" s="39" t="s">
        <v>89</v>
      </c>
      <c r="B77" s="140" t="s">
        <v>174</v>
      </c>
      <c r="C77" s="132">
        <v>100000000</v>
      </c>
      <c r="D77" s="89">
        <f t="shared" si="59"/>
        <v>0.34566194262011751</v>
      </c>
      <c r="E77" s="23">
        <f>(97420000)/$C$77*100</f>
        <v>97.42</v>
      </c>
      <c r="F77" s="23">
        <f>(97420000+2580000)/$C$77*100</f>
        <v>100</v>
      </c>
      <c r="G77" s="23">
        <f>(97420000+2580000)/$C$77*100</f>
        <v>100</v>
      </c>
      <c r="H77" s="23">
        <f>(97420000+2580000)/$C$77*100</f>
        <v>100</v>
      </c>
      <c r="I77" s="57">
        <v>0</v>
      </c>
      <c r="J77" s="57">
        <v>91924250</v>
      </c>
      <c r="K77" s="57">
        <f t="shared" si="55"/>
        <v>91924250</v>
      </c>
      <c r="L77" s="23">
        <f t="shared" si="56"/>
        <v>91.924250000000001</v>
      </c>
      <c r="M77" s="90">
        <v>97.42</v>
      </c>
      <c r="N77" s="23">
        <f t="shared" ref="N77" si="66">L77*D77/100</f>
        <v>0.31774714828897338</v>
      </c>
      <c r="O77" s="23">
        <f t="shared" ref="O77" si="67">M77*D77/100</f>
        <v>0.33674386450051846</v>
      </c>
      <c r="P77" s="18"/>
      <c r="Q77" s="85"/>
      <c r="R77" s="25">
        <f t="shared" si="57"/>
        <v>0.34566194262011751</v>
      </c>
      <c r="S77" s="26">
        <f t="shared" si="58"/>
        <v>0.33674386450051846</v>
      </c>
    </row>
    <row r="78" spans="1:29" s="3" customFormat="1" ht="21" customHeight="1" x14ac:dyDescent="0.25">
      <c r="A78" s="39" t="s">
        <v>90</v>
      </c>
      <c r="B78" s="140" t="s">
        <v>55</v>
      </c>
      <c r="C78" s="132">
        <v>45000000</v>
      </c>
      <c r="D78" s="89">
        <f t="shared" si="59"/>
        <v>0.15554787417905289</v>
      </c>
      <c r="E78" s="23">
        <f>(0)/$C$78*100</f>
        <v>0</v>
      </c>
      <c r="F78" s="23">
        <f>(0+45000000)/$C$78*100</f>
        <v>100</v>
      </c>
      <c r="G78" s="23">
        <f>(0+45000000)/$C$78*100</f>
        <v>100</v>
      </c>
      <c r="H78" s="23">
        <f>(0+45000000)/$C$78*100</f>
        <v>100</v>
      </c>
      <c r="I78" s="57">
        <v>0</v>
      </c>
      <c r="J78" s="57">
        <v>0</v>
      </c>
      <c r="K78" s="57">
        <f t="shared" si="55"/>
        <v>0</v>
      </c>
      <c r="L78" s="23">
        <f t="shared" si="56"/>
        <v>0</v>
      </c>
      <c r="M78" s="90">
        <v>5.46</v>
      </c>
      <c r="N78" s="23">
        <f>L78*D78/100</f>
        <v>0</v>
      </c>
      <c r="O78" s="23">
        <f>M78*D78/100</f>
        <v>8.4929139301762879E-3</v>
      </c>
      <c r="P78" s="18"/>
      <c r="Q78" s="85"/>
      <c r="R78" s="25">
        <f t="shared" si="57"/>
        <v>0.15554787417905289</v>
      </c>
      <c r="S78" s="26">
        <f t="shared" si="58"/>
        <v>8.4929139301762879E-3</v>
      </c>
    </row>
    <row r="79" spans="1:29" s="3" customFormat="1" ht="23.25" customHeight="1" x14ac:dyDescent="0.25">
      <c r="A79" s="39" t="s">
        <v>91</v>
      </c>
      <c r="B79" s="140" t="s">
        <v>175</v>
      </c>
      <c r="C79" s="135">
        <v>425000000</v>
      </c>
      <c r="D79" s="89">
        <f t="shared" si="59"/>
        <v>1.4690632561354995</v>
      </c>
      <c r="E79" s="23">
        <f>(400000000)/$C$79*100</f>
        <v>94.117647058823522</v>
      </c>
      <c r="F79" s="23">
        <f>(400000000+25000000)/$C$79*100</f>
        <v>100</v>
      </c>
      <c r="G79" s="23">
        <f>(400000000+25000000)/$C$79*100</f>
        <v>100</v>
      </c>
      <c r="H79" s="23">
        <f>(400000000+25000000)/$C$79*100</f>
        <v>100</v>
      </c>
      <c r="I79" s="57">
        <v>0</v>
      </c>
      <c r="J79" s="57">
        <v>0</v>
      </c>
      <c r="K79" s="57">
        <f t="shared" si="55"/>
        <v>0</v>
      </c>
      <c r="L79" s="23">
        <f t="shared" si="56"/>
        <v>0</v>
      </c>
      <c r="M79" s="90">
        <v>98.97</v>
      </c>
      <c r="N79" s="23">
        <f t="shared" ref="N79" si="68">L79*D79/100</f>
        <v>0</v>
      </c>
      <c r="O79" s="23">
        <f t="shared" ref="O79" si="69">M79*D79/100</f>
        <v>1.4539319045973038</v>
      </c>
      <c r="P79" s="18"/>
      <c r="Q79" s="85"/>
      <c r="R79" s="25">
        <f t="shared" si="57"/>
        <v>1.4690632561354995</v>
      </c>
      <c r="S79" s="26">
        <f t="shared" si="58"/>
        <v>1.4539319045973038</v>
      </c>
    </row>
    <row r="80" spans="1:29" s="3" customFormat="1" ht="33.75" customHeight="1" x14ac:dyDescent="0.25">
      <c r="A80" s="39" t="s">
        <v>92</v>
      </c>
      <c r="B80" s="140" t="s">
        <v>176</v>
      </c>
      <c r="C80" s="135">
        <v>700000000</v>
      </c>
      <c r="D80" s="89">
        <f t="shared" si="59"/>
        <v>2.4196335983408224</v>
      </c>
      <c r="E80" s="23">
        <f>(27000000)/$C$80*100</f>
        <v>3.8571428571428568</v>
      </c>
      <c r="F80" s="23">
        <f>(27000000+673000000)/$C$80*100</f>
        <v>100</v>
      </c>
      <c r="G80" s="23">
        <f>(27000000+673000000)/$C$80*100</f>
        <v>100</v>
      </c>
      <c r="H80" s="23">
        <f>(27000000+673000000)/$C$80*100</f>
        <v>100</v>
      </c>
      <c r="I80" s="57">
        <v>0</v>
      </c>
      <c r="J80" s="57">
        <v>0</v>
      </c>
      <c r="K80" s="57">
        <f t="shared" si="55"/>
        <v>0</v>
      </c>
      <c r="L80" s="23">
        <f t="shared" si="56"/>
        <v>0</v>
      </c>
      <c r="M80" s="90">
        <v>13.25</v>
      </c>
      <c r="N80" s="23">
        <f>L80*D80/100</f>
        <v>0</v>
      </c>
      <c r="O80" s="23">
        <f>M80*D80/100</f>
        <v>0.32060145178015892</v>
      </c>
      <c r="P80" s="18"/>
      <c r="Q80" s="85"/>
      <c r="R80" s="25">
        <f t="shared" si="57"/>
        <v>2.4196335983408224</v>
      </c>
      <c r="S80" s="26">
        <f t="shared" si="58"/>
        <v>0.32060145178015892</v>
      </c>
    </row>
    <row r="81" spans="1:21" s="3" customFormat="1" ht="24" customHeight="1" x14ac:dyDescent="0.25">
      <c r="A81" s="39" t="s">
        <v>93</v>
      </c>
      <c r="B81" s="140" t="s">
        <v>56</v>
      </c>
      <c r="C81" s="135">
        <v>500000000</v>
      </c>
      <c r="D81" s="89">
        <f t="shared" si="59"/>
        <v>1.7283097131005878</v>
      </c>
      <c r="E81" s="23">
        <f>(495348500)/$C$81*100</f>
        <v>99.069700000000012</v>
      </c>
      <c r="F81" s="23">
        <f>(495348500+4651500)/$C$81*100</f>
        <v>100</v>
      </c>
      <c r="G81" s="23">
        <f>(495348500+4651500)/$C$81*100</f>
        <v>100</v>
      </c>
      <c r="H81" s="23">
        <f>(495348500+4651500)/$C$81*100</f>
        <v>100</v>
      </c>
      <c r="I81" s="57">
        <v>0</v>
      </c>
      <c r="J81" s="57">
        <v>0</v>
      </c>
      <c r="K81" s="57">
        <f t="shared" si="55"/>
        <v>0</v>
      </c>
      <c r="L81" s="23">
        <f t="shared" si="56"/>
        <v>0</v>
      </c>
      <c r="M81" s="90">
        <v>14.86</v>
      </c>
      <c r="N81" s="23">
        <f t="shared" ref="N81" si="70">L81*D81/100</f>
        <v>0</v>
      </c>
      <c r="O81" s="23">
        <f t="shared" ref="O81" si="71">M81*D81/100</f>
        <v>0.25682682336674734</v>
      </c>
      <c r="P81" s="18"/>
      <c r="Q81" s="85"/>
      <c r="R81" s="25">
        <f t="shared" si="57"/>
        <v>1.7283097131005878</v>
      </c>
      <c r="S81" s="26">
        <f t="shared" si="58"/>
        <v>0.25682682336674734</v>
      </c>
    </row>
    <row r="82" spans="1:21" s="3" customFormat="1" ht="21.75" customHeight="1" x14ac:dyDescent="0.25">
      <c r="A82" s="39" t="s">
        <v>94</v>
      </c>
      <c r="B82" s="140" t="s">
        <v>177</v>
      </c>
      <c r="C82" s="135">
        <v>660000000</v>
      </c>
      <c r="D82" s="89">
        <f t="shared" si="59"/>
        <v>2.2813688212927756</v>
      </c>
      <c r="E82" s="23">
        <f>(41700000)/$C$82*100</f>
        <v>6.3181818181818183</v>
      </c>
      <c r="F82" s="23">
        <f>(41700000)/$C$82*100</f>
        <v>6.3181818181818183</v>
      </c>
      <c r="G82" s="23">
        <f>(41700000+0+618300000)/$C$82*100</f>
        <v>100</v>
      </c>
      <c r="H82" s="23">
        <f>(41700000+0+618300000)/$C$82*100</f>
        <v>100</v>
      </c>
      <c r="I82" s="57">
        <v>0</v>
      </c>
      <c r="J82" s="57">
        <v>0</v>
      </c>
      <c r="K82" s="57">
        <f t="shared" si="55"/>
        <v>0</v>
      </c>
      <c r="L82" s="23">
        <f t="shared" si="56"/>
        <v>0</v>
      </c>
      <c r="M82" s="90">
        <v>6.32</v>
      </c>
      <c r="N82" s="23">
        <f>L82*D82/100</f>
        <v>0</v>
      </c>
      <c r="O82" s="23">
        <f>M82*D82/100</f>
        <v>0.14418250950570344</v>
      </c>
      <c r="P82" s="18"/>
      <c r="Q82" s="85"/>
      <c r="R82" s="25">
        <f t="shared" si="57"/>
        <v>2.2813688212927756</v>
      </c>
      <c r="S82" s="26">
        <f t="shared" si="58"/>
        <v>0.14418250950570344</v>
      </c>
    </row>
    <row r="83" spans="1:21" s="3" customFormat="1" ht="21.75" customHeight="1" x14ac:dyDescent="0.25">
      <c r="A83" s="39" t="s">
        <v>95</v>
      </c>
      <c r="B83" s="140" t="s">
        <v>178</v>
      </c>
      <c r="C83" s="135">
        <v>625000000</v>
      </c>
      <c r="D83" s="89">
        <f t="shared" si="59"/>
        <v>2.1603871413757343</v>
      </c>
      <c r="E83" s="23">
        <f>(625000000)/$C$83*100</f>
        <v>100</v>
      </c>
      <c r="F83" s="23">
        <f>(625000000)/$C$83*100</f>
        <v>100</v>
      </c>
      <c r="G83" s="23">
        <f>(625000000)/$C$83*100</f>
        <v>100</v>
      </c>
      <c r="H83" s="23">
        <f>(625000000)/$C$83*100</f>
        <v>100</v>
      </c>
      <c r="I83" s="57">
        <v>0</v>
      </c>
      <c r="J83" s="57">
        <v>614000000</v>
      </c>
      <c r="K83" s="57">
        <f t="shared" si="55"/>
        <v>614000000</v>
      </c>
      <c r="L83" s="23">
        <f t="shared" si="56"/>
        <v>98.240000000000009</v>
      </c>
      <c r="M83" s="90">
        <v>98.67</v>
      </c>
      <c r="N83" s="23">
        <f t="shared" ref="N83" si="72">L83*D83/100</f>
        <v>2.1223643276875217</v>
      </c>
      <c r="O83" s="23">
        <f t="shared" ref="O83" si="73">M83*D83/100</f>
        <v>2.131653992395437</v>
      </c>
      <c r="P83" s="18"/>
      <c r="Q83" s="85"/>
      <c r="R83" s="25">
        <f t="shared" si="57"/>
        <v>2.1603871413757343</v>
      </c>
      <c r="S83" s="26">
        <f t="shared" si="58"/>
        <v>2.131653992395437</v>
      </c>
    </row>
    <row r="84" spans="1:21" s="3" customFormat="1" ht="33.75" customHeight="1" x14ac:dyDescent="0.25">
      <c r="A84" s="39" t="s">
        <v>96</v>
      </c>
      <c r="B84" s="150" t="s">
        <v>179</v>
      </c>
      <c r="C84" s="134">
        <v>350000000</v>
      </c>
      <c r="D84" s="89">
        <f t="shared" si="59"/>
        <v>1.2098167991704112</v>
      </c>
      <c r="E84" s="23">
        <f>(26800000)/$C$84*100</f>
        <v>7.6571428571428566</v>
      </c>
      <c r="F84" s="23">
        <f>(26800000)/$C$84*100</f>
        <v>7.6571428571428566</v>
      </c>
      <c r="G84" s="23">
        <f>(26800000+0+323200000)/$C$84*100</f>
        <v>100</v>
      </c>
      <c r="H84" s="23">
        <f>(26800000+0+323200000)/$C$84*100</f>
        <v>100</v>
      </c>
      <c r="I84" s="57">
        <v>0</v>
      </c>
      <c r="J84" s="57">
        <v>0</v>
      </c>
      <c r="K84" s="57">
        <f t="shared" si="55"/>
        <v>0</v>
      </c>
      <c r="L84" s="23">
        <f t="shared" si="56"/>
        <v>0</v>
      </c>
      <c r="M84" s="90">
        <v>16.46</v>
      </c>
      <c r="N84" s="23">
        <f>L84*D84/100</f>
        <v>0</v>
      </c>
      <c r="O84" s="23">
        <f>M84*D84/100</f>
        <v>0.19913584514344967</v>
      </c>
      <c r="P84" s="18"/>
      <c r="Q84" s="85"/>
      <c r="R84" s="25">
        <f t="shared" si="57"/>
        <v>1.2098167991704112</v>
      </c>
      <c r="S84" s="26">
        <f t="shared" si="58"/>
        <v>0.19913584514344967</v>
      </c>
    </row>
    <row r="85" spans="1:21" s="3" customFormat="1" ht="33.75" customHeight="1" x14ac:dyDescent="0.25">
      <c r="A85" s="39" t="s">
        <v>97</v>
      </c>
      <c r="B85" s="150" t="s">
        <v>180</v>
      </c>
      <c r="C85" s="134">
        <v>1000000000</v>
      </c>
      <c r="D85" s="89">
        <f t="shared" si="59"/>
        <v>3.4566194262011756</v>
      </c>
      <c r="E85" s="23">
        <f>(63800000)/$C$85*100</f>
        <v>6.38</v>
      </c>
      <c r="F85" s="23">
        <f>(63800000+0)/$C$85*100</f>
        <v>6.38</v>
      </c>
      <c r="G85" s="23">
        <f>(63800000+0+936200000)/$C$85*100</f>
        <v>100</v>
      </c>
      <c r="H85" s="23">
        <f>(63800000+0+936200000)/$C$85*100</f>
        <v>100</v>
      </c>
      <c r="I85" s="57">
        <v>0</v>
      </c>
      <c r="J85" s="57">
        <v>0</v>
      </c>
      <c r="K85" s="57">
        <f t="shared" si="55"/>
        <v>0</v>
      </c>
      <c r="L85" s="23">
        <f t="shared" si="56"/>
        <v>0</v>
      </c>
      <c r="M85" s="90">
        <f>2.55+1.91</f>
        <v>4.46</v>
      </c>
      <c r="N85" s="23">
        <f t="shared" ref="N85" si="74">L85*D85/100</f>
        <v>0</v>
      </c>
      <c r="O85" s="23">
        <f t="shared" ref="O85" si="75">M85*D85/100</f>
        <v>0.15416522640857244</v>
      </c>
      <c r="P85" s="18"/>
      <c r="Q85" s="85"/>
      <c r="R85" s="25">
        <f t="shared" si="57"/>
        <v>3.4566194262011756</v>
      </c>
      <c r="S85" s="26">
        <f t="shared" si="58"/>
        <v>0.15416522640857244</v>
      </c>
    </row>
    <row r="86" spans="1:21" s="25" customFormat="1" ht="23.25" customHeight="1" x14ac:dyDescent="0.25">
      <c r="A86" s="39" t="s">
        <v>98</v>
      </c>
      <c r="B86" s="150" t="s">
        <v>181</v>
      </c>
      <c r="C86" s="134">
        <v>3100000000</v>
      </c>
      <c r="D86" s="89">
        <f t="shared" si="59"/>
        <v>10.715520221223644</v>
      </c>
      <c r="E86" s="23">
        <f>(39332200)/$C$86*100</f>
        <v>1.2687806451612902</v>
      </c>
      <c r="F86" s="23">
        <f>(39332200+23325000)/$C$86*100</f>
        <v>2.0211999999999999</v>
      </c>
      <c r="G86" s="23">
        <f>(39332200+23325000+3037342800)/$C$86*100</f>
        <v>100</v>
      </c>
      <c r="H86" s="23">
        <f>(39332200+23325000+3037342800)/$C$86*100</f>
        <v>100</v>
      </c>
      <c r="I86" s="57">
        <v>0</v>
      </c>
      <c r="J86" s="57">
        <v>0</v>
      </c>
      <c r="K86" s="57">
        <f t="shared" si="55"/>
        <v>0</v>
      </c>
      <c r="L86" s="23">
        <f t="shared" si="56"/>
        <v>0</v>
      </c>
      <c r="M86" s="90">
        <v>0.28999999999999998</v>
      </c>
      <c r="N86" s="23">
        <f>L86*D86/100</f>
        <v>0</v>
      </c>
      <c r="O86" s="23">
        <f>M86*D86/100</f>
        <v>3.1075008641548565E-2</v>
      </c>
      <c r="P86" s="18"/>
      <c r="Q86" s="85"/>
      <c r="R86" s="25">
        <f t="shared" si="57"/>
        <v>10.715520221223644</v>
      </c>
      <c r="S86" s="26">
        <f t="shared" si="58"/>
        <v>3.1075008641548565E-2</v>
      </c>
    </row>
    <row r="87" spans="1:21" s="3" customFormat="1" ht="27" customHeight="1" x14ac:dyDescent="0.25">
      <c r="A87" s="39" t="s">
        <v>99</v>
      </c>
      <c r="B87" s="140" t="s">
        <v>182</v>
      </c>
      <c r="C87" s="135">
        <v>320000000</v>
      </c>
      <c r="D87" s="89">
        <f t="shared" si="59"/>
        <v>1.1061182163843761</v>
      </c>
      <c r="E87" s="23">
        <f>(315033500)/$C$87*100</f>
        <v>98.447968750000001</v>
      </c>
      <c r="F87" s="23">
        <f>(315033500+4966500)/$C$87*100</f>
        <v>100</v>
      </c>
      <c r="G87" s="23">
        <f>(315033500+4966500)/$C$87*100</f>
        <v>100</v>
      </c>
      <c r="H87" s="23">
        <f>(315033500+4966500)/$C$87*100</f>
        <v>100</v>
      </c>
      <c r="I87" s="57">
        <v>0</v>
      </c>
      <c r="J87" s="57">
        <v>308000000</v>
      </c>
      <c r="K87" s="57">
        <f t="shared" si="55"/>
        <v>308000000</v>
      </c>
      <c r="L87" s="23">
        <f t="shared" si="56"/>
        <v>96.25</v>
      </c>
      <c r="M87" s="90">
        <v>98.45</v>
      </c>
      <c r="N87" s="23">
        <f t="shared" ref="N87:N93" si="76">L87*D87/100</f>
        <v>1.0646387832699622</v>
      </c>
      <c r="O87" s="23">
        <f t="shared" ref="O87:O93" si="77">M87*D87/100</f>
        <v>1.0889733840304183</v>
      </c>
      <c r="P87" s="18"/>
      <c r="Q87" s="85"/>
      <c r="R87" s="25">
        <f t="shared" si="57"/>
        <v>1.1061182163843761</v>
      </c>
      <c r="S87" s="26">
        <f t="shared" si="58"/>
        <v>1.0889733840304183</v>
      </c>
    </row>
    <row r="88" spans="1:21" s="3" customFormat="1" ht="24.75" customHeight="1" x14ac:dyDescent="0.25">
      <c r="A88" s="39" t="s">
        <v>150</v>
      </c>
      <c r="B88" s="140" t="s">
        <v>183</v>
      </c>
      <c r="C88" s="135">
        <v>25000000</v>
      </c>
      <c r="D88" s="89">
        <f t="shared" si="59"/>
        <v>8.6415485655029378E-2</v>
      </c>
      <c r="E88" s="23">
        <f>(5775000)/$C$88*100</f>
        <v>23.1</v>
      </c>
      <c r="F88" s="23">
        <f>(5775000+5775000)/$C$88*100</f>
        <v>46.2</v>
      </c>
      <c r="G88" s="23">
        <f>(5775000+5775000+7675000)/$C$88*100</f>
        <v>76.900000000000006</v>
      </c>
      <c r="H88" s="23">
        <f>(5775000+5775000+7675000+5775000)/$C$88*100</f>
        <v>100</v>
      </c>
      <c r="I88" s="57">
        <v>0</v>
      </c>
      <c r="J88" s="57">
        <v>0</v>
      </c>
      <c r="K88" s="57">
        <f t="shared" si="55"/>
        <v>0</v>
      </c>
      <c r="L88" s="23">
        <f t="shared" si="56"/>
        <v>0</v>
      </c>
      <c r="M88" s="90">
        <v>20.28</v>
      </c>
      <c r="N88" s="23">
        <f t="shared" si="76"/>
        <v>0</v>
      </c>
      <c r="O88" s="23">
        <f t="shared" si="77"/>
        <v>1.7525060490839958E-2</v>
      </c>
      <c r="P88" s="18"/>
      <c r="Q88" s="85"/>
      <c r="R88" s="25">
        <f t="shared" si="57"/>
        <v>8.6415485655029378E-2</v>
      </c>
      <c r="S88" s="26">
        <f t="shared" si="58"/>
        <v>1.7525060490839958E-2</v>
      </c>
    </row>
    <row r="89" spans="1:21" s="3" customFormat="1" ht="24.75" customHeight="1" x14ac:dyDescent="0.25">
      <c r="A89" s="39" t="s">
        <v>151</v>
      </c>
      <c r="B89" s="140" t="s">
        <v>187</v>
      </c>
      <c r="C89" s="135">
        <v>550000000</v>
      </c>
      <c r="D89" s="89">
        <f t="shared" si="59"/>
        <v>1.9011406844106464</v>
      </c>
      <c r="E89" s="23">
        <f>(59275000)/$C$89*100</f>
        <v>10.777272727272727</v>
      </c>
      <c r="F89" s="23">
        <f>(59275000)/$C$89*100</f>
        <v>10.777272727272727</v>
      </c>
      <c r="G89" s="23">
        <f>(59275000)/$C$89*100</f>
        <v>10.777272727272727</v>
      </c>
      <c r="H89" s="23">
        <f>(59275000+490725000)/$C$89*100</f>
        <v>100</v>
      </c>
      <c r="I89" s="57">
        <v>0</v>
      </c>
      <c r="J89" s="57">
        <v>0</v>
      </c>
      <c r="K89" s="57">
        <f t="shared" si="55"/>
        <v>0</v>
      </c>
      <c r="L89" s="23">
        <f t="shared" si="56"/>
        <v>0</v>
      </c>
      <c r="M89" s="90">
        <v>13.25</v>
      </c>
      <c r="N89" s="23">
        <f t="shared" si="76"/>
        <v>0</v>
      </c>
      <c r="O89" s="23">
        <f t="shared" si="77"/>
        <v>0.25190114068441066</v>
      </c>
      <c r="P89" s="18"/>
      <c r="Q89" s="85"/>
      <c r="R89" s="25">
        <f t="shared" si="57"/>
        <v>1.9011406844106464</v>
      </c>
      <c r="S89" s="26">
        <f t="shared" si="58"/>
        <v>0.25190114068441066</v>
      </c>
    </row>
    <row r="90" spans="1:21" s="3" customFormat="1" ht="24.75" customHeight="1" x14ac:dyDescent="0.25">
      <c r="A90" s="39" t="s">
        <v>152</v>
      </c>
      <c r="B90" s="140" t="s">
        <v>184</v>
      </c>
      <c r="C90" s="135">
        <v>1000000000</v>
      </c>
      <c r="D90" s="89">
        <f t="shared" si="59"/>
        <v>3.4566194262011756</v>
      </c>
      <c r="E90" s="23">
        <f>(35475000)/$C$90*100</f>
        <v>3.5474999999999999</v>
      </c>
      <c r="F90" s="23">
        <f>(35475000)/$C$90*100</f>
        <v>3.5474999999999999</v>
      </c>
      <c r="G90" s="23">
        <f>(35475000)/$C$90*100</f>
        <v>3.5474999999999999</v>
      </c>
      <c r="H90" s="23">
        <f>(35475000+964525000)/$C$90*100</f>
        <v>100</v>
      </c>
      <c r="I90" s="57">
        <v>0</v>
      </c>
      <c r="J90" s="57">
        <v>0</v>
      </c>
      <c r="K90" s="57">
        <f t="shared" si="55"/>
        <v>0</v>
      </c>
      <c r="L90" s="23">
        <f t="shared" si="56"/>
        <v>0</v>
      </c>
      <c r="M90" s="90">
        <v>0</v>
      </c>
      <c r="N90" s="23">
        <f t="shared" si="76"/>
        <v>0</v>
      </c>
      <c r="O90" s="23">
        <f t="shared" si="77"/>
        <v>0</v>
      </c>
      <c r="P90" s="18"/>
      <c r="Q90" s="85"/>
      <c r="R90" s="25">
        <f t="shared" si="57"/>
        <v>3.4566194262011756</v>
      </c>
      <c r="S90" s="26">
        <f t="shared" si="58"/>
        <v>0</v>
      </c>
    </row>
    <row r="91" spans="1:21" s="3" customFormat="1" ht="20.25" customHeight="1" x14ac:dyDescent="0.25">
      <c r="A91" s="39" t="s">
        <v>153</v>
      </c>
      <c r="B91" s="140" t="s">
        <v>185</v>
      </c>
      <c r="C91" s="135">
        <v>1000000000</v>
      </c>
      <c r="D91" s="89">
        <f t="shared" si="59"/>
        <v>3.4566194262011756</v>
      </c>
      <c r="E91" s="23">
        <f>(0)/$C$91*100</f>
        <v>0</v>
      </c>
      <c r="F91" s="23">
        <f>(0)/$C$91*100</f>
        <v>0</v>
      </c>
      <c r="G91" s="23">
        <f>(100000000)/$C$91*100</f>
        <v>10</v>
      </c>
      <c r="H91" s="23">
        <f>(100000000+900000000)/$C$91*100</f>
        <v>100</v>
      </c>
      <c r="I91" s="57">
        <v>0</v>
      </c>
      <c r="J91" s="57">
        <v>0</v>
      </c>
      <c r="K91" s="57">
        <f t="shared" si="55"/>
        <v>0</v>
      </c>
      <c r="L91" s="23">
        <f t="shared" si="56"/>
        <v>0</v>
      </c>
      <c r="M91" s="90">
        <v>14.77</v>
      </c>
      <c r="N91" s="23">
        <f t="shared" si="76"/>
        <v>0</v>
      </c>
      <c r="O91" s="23">
        <f t="shared" si="77"/>
        <v>0.51054268924991364</v>
      </c>
      <c r="P91" s="18"/>
      <c r="Q91" s="85"/>
      <c r="R91" s="25">
        <f t="shared" si="57"/>
        <v>3.4566194262011756</v>
      </c>
      <c r="S91" s="26">
        <f t="shared" si="58"/>
        <v>0.51054268924991364</v>
      </c>
    </row>
    <row r="92" spans="1:21" s="3" customFormat="1" ht="48" customHeight="1" x14ac:dyDescent="0.25">
      <c r="A92" s="39" t="s">
        <v>154</v>
      </c>
      <c r="B92" s="140" t="s">
        <v>186</v>
      </c>
      <c r="C92" s="135">
        <v>15900000000</v>
      </c>
      <c r="D92" s="89">
        <f t="shared" si="59"/>
        <v>54.960248876598683</v>
      </c>
      <c r="E92" s="23">
        <f>(70000000)/$C$92*100</f>
        <v>0.44025157232704404</v>
      </c>
      <c r="F92" s="23">
        <f>(70000000+100000000)/$C$92*100</f>
        <v>1.0691823899371069</v>
      </c>
      <c r="G92" s="23">
        <f>(70000000+100000000+8485072100)/$C$92*100</f>
        <v>54.434415723270433</v>
      </c>
      <c r="H92" s="23">
        <f>(70000000+100000000+8485072100+7244927900)/$C$92*100</f>
        <v>100</v>
      </c>
      <c r="I92" s="57">
        <v>0</v>
      </c>
      <c r="J92" s="57">
        <v>2177500</v>
      </c>
      <c r="K92" s="57">
        <f t="shared" si="55"/>
        <v>2177500</v>
      </c>
      <c r="L92" s="23">
        <f t="shared" si="56"/>
        <v>1.3694968553459121E-2</v>
      </c>
      <c r="M92" s="90">
        <f>5.51+1.15</f>
        <v>6.66</v>
      </c>
      <c r="N92" s="23">
        <f t="shared" si="76"/>
        <v>7.5267888005530591E-3</v>
      </c>
      <c r="O92" s="23">
        <f t="shared" si="77"/>
        <v>3.6603525751814727</v>
      </c>
      <c r="P92" s="18"/>
      <c r="Q92" s="85"/>
      <c r="R92" s="25">
        <f t="shared" si="57"/>
        <v>54.960248876598683</v>
      </c>
      <c r="S92" s="26">
        <f t="shared" si="58"/>
        <v>3.6603525751814727</v>
      </c>
    </row>
    <row r="93" spans="1:21" ht="20.25" customHeight="1" x14ac:dyDescent="0.25">
      <c r="A93" s="39" t="s">
        <v>189</v>
      </c>
      <c r="B93" s="140" t="s">
        <v>188</v>
      </c>
      <c r="C93" s="135">
        <v>350000000</v>
      </c>
      <c r="D93" s="89">
        <f t="shared" si="59"/>
        <v>1.2098167991704112</v>
      </c>
      <c r="E93" s="23">
        <f>(150000000)/$C$93*100</f>
        <v>42.857142857142854</v>
      </c>
      <c r="F93" s="23">
        <f>(150000000+200000000)/$C$93*100</f>
        <v>100</v>
      </c>
      <c r="G93" s="23">
        <f>(150000000+200000000)/$C$93*100</f>
        <v>100</v>
      </c>
      <c r="H93" s="23">
        <f>(150000000+200000000)/$C$93*100</f>
        <v>100</v>
      </c>
      <c r="I93" s="57">
        <v>0</v>
      </c>
      <c r="J93" s="57">
        <v>0</v>
      </c>
      <c r="K93" s="57">
        <f t="shared" si="55"/>
        <v>0</v>
      </c>
      <c r="L93" s="23">
        <f t="shared" si="56"/>
        <v>0</v>
      </c>
      <c r="M93" s="90">
        <v>16.46</v>
      </c>
      <c r="N93" s="23">
        <f t="shared" si="76"/>
        <v>0</v>
      </c>
      <c r="O93" s="23">
        <f t="shared" si="77"/>
        <v>0.19913584514344967</v>
      </c>
      <c r="P93" s="32"/>
      <c r="Q93" s="84"/>
      <c r="R93" s="25">
        <f t="shared" si="57"/>
        <v>1.2098167991704112</v>
      </c>
      <c r="S93" s="26">
        <f t="shared" si="58"/>
        <v>0.19913584514344967</v>
      </c>
      <c r="T93" s="3"/>
      <c r="U93" s="3"/>
    </row>
    <row r="94" spans="1:21" x14ac:dyDescent="0.25">
      <c r="A94" s="142"/>
      <c r="B94" s="143"/>
      <c r="C94" s="141"/>
      <c r="D94" s="144"/>
      <c r="E94" s="145"/>
      <c r="F94" s="145"/>
      <c r="G94" s="145"/>
      <c r="H94" s="145"/>
      <c r="I94" s="146"/>
      <c r="J94" s="147"/>
      <c r="K94" s="147"/>
      <c r="L94" s="145"/>
      <c r="M94" s="148"/>
      <c r="N94" s="145"/>
      <c r="O94" s="145"/>
      <c r="P94" s="149"/>
      <c r="Q94" s="84"/>
      <c r="R94" s="3"/>
      <c r="S94" s="3"/>
      <c r="T94" s="3"/>
      <c r="U94" s="3"/>
    </row>
    <row r="95" spans="1:21" ht="15.75" thickBot="1" x14ac:dyDescent="0.3">
      <c r="A95" s="165" t="s">
        <v>9</v>
      </c>
      <c r="B95" s="166"/>
      <c r="C95" s="109">
        <f>SUM(C10)</f>
        <v>171866825000</v>
      </c>
      <c r="D95" s="110">
        <f>SUM(D11+D14)</f>
        <v>100</v>
      </c>
      <c r="E95" s="111"/>
      <c r="F95" s="111"/>
      <c r="G95" s="111"/>
      <c r="H95" s="111"/>
      <c r="I95" s="59">
        <f>SUM(I11+I14)</f>
        <v>17332819615</v>
      </c>
      <c r="J95" s="59">
        <f t="shared" ref="J95:K95" si="78">SUM(J11+J14)</f>
        <v>15170271939</v>
      </c>
      <c r="K95" s="59">
        <f t="shared" si="78"/>
        <v>32503091554</v>
      </c>
      <c r="L95" s="111">
        <f>K95/C95*100</f>
        <v>18.911789144880053</v>
      </c>
      <c r="M95" s="111">
        <f>O95</f>
        <v>26.089797318359729</v>
      </c>
      <c r="N95" s="111">
        <f>SUM(N10)</f>
        <v>18.911789144880053</v>
      </c>
      <c r="O95" s="111">
        <f>SUM(O10)</f>
        <v>26.089797318359729</v>
      </c>
      <c r="P95" s="71"/>
      <c r="Q95" s="82"/>
    </row>
    <row r="96" spans="1:21" ht="15.75" thickTop="1" x14ac:dyDescent="0.25">
      <c r="P96" s="72"/>
      <c r="Q96" s="35"/>
    </row>
    <row r="97" spans="1:17" ht="17.25" x14ac:dyDescent="0.3">
      <c r="A97" s="10"/>
      <c r="L97" s="179" t="s">
        <v>191</v>
      </c>
      <c r="M97" s="179"/>
      <c r="N97" s="179"/>
      <c r="O97" s="179"/>
      <c r="P97" s="179"/>
      <c r="Q97" s="75"/>
    </row>
    <row r="98" spans="1:17" s="34" customFormat="1" ht="17.25" x14ac:dyDescent="0.3">
      <c r="A98" s="33"/>
      <c r="B98" s="33"/>
      <c r="I98" s="6"/>
      <c r="L98" s="176" t="s">
        <v>103</v>
      </c>
      <c r="M98" s="176"/>
      <c r="N98" s="176"/>
      <c r="O98" s="176"/>
      <c r="P98" s="176"/>
      <c r="Q98" s="75"/>
    </row>
    <row r="99" spans="1:17" s="34" customFormat="1" ht="17.25" x14ac:dyDescent="0.3">
      <c r="A99" s="33"/>
      <c r="B99" s="33"/>
      <c r="I99" s="6"/>
      <c r="L99" s="176" t="s">
        <v>104</v>
      </c>
      <c r="M99" s="176"/>
      <c r="N99" s="176"/>
      <c r="O99" s="176"/>
      <c r="P99" s="176"/>
      <c r="Q99" s="75"/>
    </row>
    <row r="100" spans="1:17" s="34" customFormat="1" ht="18.75" customHeight="1" x14ac:dyDescent="0.3">
      <c r="A100" s="33"/>
      <c r="B100" s="33"/>
      <c r="I100" s="6"/>
      <c r="L100" s="176"/>
      <c r="M100" s="176"/>
      <c r="N100" s="176"/>
      <c r="O100" s="176"/>
      <c r="P100" s="176"/>
      <c r="Q100" s="35"/>
    </row>
    <row r="101" spans="1:17" s="34" customFormat="1" ht="18.75" customHeight="1" x14ac:dyDescent="0.3">
      <c r="A101" s="33"/>
      <c r="B101" s="33"/>
      <c r="I101" s="6"/>
      <c r="L101" s="176"/>
      <c r="M101" s="176"/>
      <c r="N101" s="176"/>
      <c r="O101" s="176"/>
      <c r="P101" s="176"/>
      <c r="Q101" s="35"/>
    </row>
    <row r="102" spans="1:17" s="34" customFormat="1" ht="18.75" customHeight="1" x14ac:dyDescent="0.3">
      <c r="A102" s="33"/>
      <c r="B102" s="33"/>
      <c r="I102" s="6"/>
      <c r="L102" s="176"/>
      <c r="M102" s="176"/>
      <c r="N102" s="176"/>
      <c r="O102" s="176"/>
      <c r="P102" s="176"/>
      <c r="Q102" s="35"/>
    </row>
    <row r="103" spans="1:17" s="34" customFormat="1" ht="18.75" customHeight="1" x14ac:dyDescent="0.3">
      <c r="A103" s="33"/>
      <c r="B103" s="33"/>
      <c r="I103" s="6"/>
      <c r="L103" s="176"/>
      <c r="M103" s="176"/>
      <c r="N103" s="176"/>
      <c r="O103" s="176"/>
      <c r="P103" s="176"/>
      <c r="Q103" s="36"/>
    </row>
    <row r="104" spans="1:17" s="34" customFormat="1" ht="17.25" x14ac:dyDescent="0.3">
      <c r="A104" s="33"/>
      <c r="B104" s="33"/>
      <c r="I104" s="6"/>
      <c r="L104" s="177" t="s">
        <v>102</v>
      </c>
      <c r="M104" s="177"/>
      <c r="N104" s="177"/>
      <c r="O104" s="177"/>
      <c r="P104" s="177"/>
      <c r="Q104" s="76"/>
    </row>
    <row r="105" spans="1:17" s="34" customFormat="1" ht="17.25" x14ac:dyDescent="0.3">
      <c r="A105" s="33"/>
      <c r="B105" s="33"/>
      <c r="I105" s="6"/>
      <c r="L105" s="176" t="s">
        <v>161</v>
      </c>
      <c r="M105" s="176"/>
      <c r="N105" s="176"/>
      <c r="O105" s="176"/>
      <c r="P105" s="176"/>
      <c r="Q105" s="75"/>
    </row>
    <row r="106" spans="1:17" s="34" customFormat="1" ht="17.25" x14ac:dyDescent="0.3">
      <c r="A106" s="33"/>
      <c r="B106" s="33"/>
      <c r="I106" s="6"/>
      <c r="L106" s="178" t="s">
        <v>105</v>
      </c>
      <c r="M106" s="178"/>
      <c r="N106" s="178"/>
      <c r="O106" s="178"/>
      <c r="P106" s="178"/>
      <c r="Q106" s="74"/>
    </row>
    <row r="107" spans="1:17" s="34" customFormat="1" x14ac:dyDescent="0.25">
      <c r="A107" s="33"/>
      <c r="B107" s="33"/>
      <c r="I107" s="6"/>
    </row>
    <row r="108" spans="1:17" s="34" customFormat="1" x14ac:dyDescent="0.25">
      <c r="A108" s="33"/>
      <c r="B108" s="33"/>
      <c r="I108" s="6"/>
    </row>
  </sheetData>
  <mergeCells count="38">
    <mergeCell ref="L97:P97"/>
    <mergeCell ref="L98:P98"/>
    <mergeCell ref="L99:P99"/>
    <mergeCell ref="L100:P100"/>
    <mergeCell ref="L101:P101"/>
    <mergeCell ref="L102:P102"/>
    <mergeCell ref="L103:P103"/>
    <mergeCell ref="L104:P104"/>
    <mergeCell ref="L105:P105"/>
    <mergeCell ref="L106:P106"/>
    <mergeCell ref="R10:S10"/>
    <mergeCell ref="R6:U6"/>
    <mergeCell ref="T9:U9"/>
    <mergeCell ref="A95:B95"/>
    <mergeCell ref="A3:P3"/>
    <mergeCell ref="A4:P4"/>
    <mergeCell ref="A5:P5"/>
    <mergeCell ref="A6:B6"/>
    <mergeCell ref="C6:D6"/>
    <mergeCell ref="E6:H6"/>
    <mergeCell ref="I6:K6"/>
    <mergeCell ref="L6:O6"/>
    <mergeCell ref="P6:P8"/>
    <mergeCell ref="L7:M7"/>
    <mergeCell ref="N7:O7"/>
    <mergeCell ref="H7:H8"/>
    <mergeCell ref="I7:I8"/>
    <mergeCell ref="J7:J8"/>
    <mergeCell ref="A1:P1"/>
    <mergeCell ref="K7:K8"/>
    <mergeCell ref="A7:A8"/>
    <mergeCell ref="B7:B8"/>
    <mergeCell ref="E7:E8"/>
    <mergeCell ref="F7:F8"/>
    <mergeCell ref="G7:G8"/>
    <mergeCell ref="C7:C8"/>
    <mergeCell ref="D7:D8"/>
    <mergeCell ref="A2:P2"/>
  </mergeCells>
  <printOptions horizontalCentered="1"/>
  <pageMargins left="0.39370078740157483" right="0.39370078740157483" top="0.59055118110236227" bottom="0.62992125984251968" header="0.31496062992125984" footer="0.31496062992125984"/>
  <pageSetup paperSize="14" scale="64" fitToHeight="0" orientation="landscape" r:id="rId1"/>
  <rowBreaks count="2" manualBreakCount="2">
    <brk id="45" max="15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Form-APBD01</vt:lpstr>
      <vt:lpstr>'Form-APBD01'!Print_Area</vt:lpstr>
      <vt:lpstr>'Form-APBD01'!Print_Titles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2022-04-18T02:28:02Z</dcterms:modified>
</cp:coreProperties>
</file>