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F93EF3B9-B3F6-4BE5-8D47-F62B2EB370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-APBD01" sheetId="1" r:id="rId1"/>
  </sheets>
  <definedNames>
    <definedName name="_xlnm.Print_Area" localSheetId="0">'Form-APBD01'!$A$1:$P$106</definedName>
    <definedName name="_xlnm.Print_Titles" localSheetId="0">'Form-APBD01'!$1:$9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G49" i="1"/>
  <c r="H49" i="1"/>
  <c r="H67" i="1"/>
  <c r="G67" i="1"/>
  <c r="H62" i="1"/>
  <c r="G62" i="1"/>
  <c r="H61" i="1"/>
  <c r="G61" i="1"/>
  <c r="H53" i="1"/>
  <c r="G53" i="1"/>
  <c r="F53" i="1"/>
  <c r="E53" i="1"/>
  <c r="H43" i="1"/>
  <c r="G43" i="1"/>
  <c r="H37" i="1"/>
  <c r="G37" i="1"/>
  <c r="F37" i="1"/>
  <c r="E37" i="1"/>
  <c r="H26" i="1"/>
  <c r="G26" i="1"/>
  <c r="H24" i="1"/>
  <c r="G24" i="1"/>
  <c r="F24" i="1"/>
  <c r="E24" i="1"/>
  <c r="H20" i="1"/>
  <c r="G20" i="1"/>
  <c r="H21" i="1"/>
  <c r="G21" i="1"/>
  <c r="I92" i="1" l="1"/>
  <c r="I84" i="1"/>
  <c r="I77" i="1"/>
  <c r="I73" i="1"/>
  <c r="I71" i="1"/>
  <c r="I61" i="1"/>
  <c r="J55" i="1"/>
  <c r="I55" i="1"/>
  <c r="J54" i="1"/>
  <c r="I54" i="1"/>
  <c r="J52" i="1"/>
  <c r="I52" i="1"/>
  <c r="I51" i="1"/>
  <c r="I43" i="1"/>
  <c r="E43" i="1"/>
  <c r="J42" i="1"/>
  <c r="J41" i="1"/>
  <c r="I41" i="1"/>
  <c r="I39" i="1"/>
  <c r="I38" i="1"/>
  <c r="J37" i="1"/>
  <c r="I37" i="1"/>
  <c r="I31" i="1"/>
  <c r="J30" i="1"/>
  <c r="I30" i="1"/>
  <c r="I29" i="1"/>
  <c r="I28" i="1"/>
  <c r="J26" i="1"/>
  <c r="I26" i="1"/>
  <c r="J25" i="1"/>
  <c r="I25" i="1"/>
  <c r="I22" i="1"/>
  <c r="J21" i="1"/>
  <c r="I21" i="1"/>
  <c r="N71" i="1"/>
  <c r="N79" i="1"/>
  <c r="N81" i="1"/>
  <c r="N82" i="1"/>
  <c r="N83" i="1"/>
  <c r="N85" i="1"/>
  <c r="N87" i="1"/>
  <c r="N88" i="1"/>
  <c r="N90" i="1"/>
  <c r="N93" i="1"/>
  <c r="L71" i="1"/>
  <c r="L79" i="1"/>
  <c r="L81" i="1"/>
  <c r="L82" i="1"/>
  <c r="L83" i="1"/>
  <c r="L85" i="1"/>
  <c r="L87" i="1"/>
  <c r="L90" i="1"/>
  <c r="I56" i="1" l="1"/>
  <c r="K30" i="1" l="1"/>
  <c r="K22" i="1"/>
  <c r="I87" i="1" l="1"/>
  <c r="I83" i="1"/>
  <c r="I79" i="1"/>
  <c r="K37" i="1"/>
  <c r="H79" i="1"/>
  <c r="G79" i="1"/>
  <c r="F79" i="1"/>
  <c r="E79" i="1"/>
  <c r="H75" i="1"/>
  <c r="G75" i="1"/>
  <c r="F75" i="1"/>
  <c r="H73" i="1"/>
  <c r="G73" i="1"/>
  <c r="F73" i="1"/>
  <c r="E73" i="1"/>
  <c r="F69" i="1"/>
  <c r="E69" i="1"/>
  <c r="F61" i="1"/>
  <c r="E60" i="1"/>
  <c r="F60" i="1"/>
  <c r="H59" i="1"/>
  <c r="G59" i="1"/>
  <c r="F59" i="1"/>
  <c r="G54" i="1"/>
  <c r="H54" i="1"/>
  <c r="F54" i="1"/>
  <c r="H51" i="1"/>
  <c r="G51" i="1"/>
  <c r="F51" i="1"/>
  <c r="F43" i="1"/>
  <c r="H42" i="1"/>
  <c r="G42" i="1"/>
  <c r="F42" i="1"/>
  <c r="H41" i="1"/>
  <c r="G41" i="1"/>
  <c r="F41" i="1"/>
  <c r="E41" i="1"/>
  <c r="H36" i="1"/>
  <c r="G36" i="1"/>
  <c r="F36" i="1"/>
  <c r="E36" i="1"/>
  <c r="H33" i="1"/>
  <c r="G33" i="1"/>
  <c r="F33" i="1"/>
  <c r="H30" i="1"/>
  <c r="G30" i="1"/>
  <c r="F30" i="1"/>
  <c r="E30" i="1"/>
  <c r="H29" i="1"/>
  <c r="G29" i="1"/>
  <c r="F29" i="1"/>
  <c r="H25" i="1"/>
  <c r="G25" i="1"/>
  <c r="H64" i="1" l="1"/>
  <c r="G64" i="1"/>
  <c r="H63" i="1"/>
  <c r="H60" i="1"/>
  <c r="G60" i="1"/>
  <c r="M11" i="1"/>
  <c r="H11" i="1" l="1"/>
  <c r="G11" i="1"/>
  <c r="F11" i="1"/>
  <c r="E11" i="1"/>
  <c r="H47" i="1"/>
  <c r="G47" i="1"/>
  <c r="H34" i="1"/>
  <c r="G34" i="1"/>
  <c r="F34" i="1"/>
  <c r="H12" i="1" l="1"/>
  <c r="Q12" i="1"/>
  <c r="Q11" i="1"/>
  <c r="J69" i="1"/>
  <c r="I69" i="1"/>
  <c r="O93" i="1"/>
  <c r="K93" i="1"/>
  <c r="L93" i="1" s="1"/>
  <c r="S93" i="1"/>
  <c r="R93" i="1"/>
  <c r="H93" i="1"/>
  <c r="G93" i="1"/>
  <c r="F93" i="1"/>
  <c r="E93" i="1"/>
  <c r="H92" i="1"/>
  <c r="G92" i="1"/>
  <c r="F92" i="1"/>
  <c r="C69" i="1"/>
  <c r="D93" i="1" s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8" i="1"/>
  <c r="G78" i="1"/>
  <c r="F78" i="1"/>
  <c r="E78" i="1"/>
  <c r="H77" i="1"/>
  <c r="G77" i="1"/>
  <c r="F77" i="1"/>
  <c r="E77" i="1"/>
  <c r="H76" i="1"/>
  <c r="G76" i="1"/>
  <c r="F76" i="1"/>
  <c r="E76" i="1"/>
  <c r="E75" i="1"/>
  <c r="H74" i="1"/>
  <c r="G74" i="1"/>
  <c r="F74" i="1"/>
  <c r="E74" i="1"/>
  <c r="H72" i="1"/>
  <c r="G72" i="1"/>
  <c r="F72" i="1"/>
  <c r="E72" i="1"/>
  <c r="H71" i="1"/>
  <c r="G71" i="1"/>
  <c r="F71" i="1"/>
  <c r="E71" i="1"/>
  <c r="H70" i="1"/>
  <c r="G70" i="1"/>
  <c r="F70" i="1"/>
  <c r="E70" i="1"/>
  <c r="F64" i="1" l="1"/>
  <c r="E64" i="1"/>
  <c r="H65" i="1"/>
  <c r="G65" i="1"/>
  <c r="F65" i="1"/>
  <c r="E65" i="1"/>
  <c r="H66" i="1"/>
  <c r="G66" i="1"/>
  <c r="F66" i="1"/>
  <c r="E66" i="1"/>
  <c r="F67" i="1"/>
  <c r="E67" i="1"/>
  <c r="G63" i="1"/>
  <c r="F63" i="1"/>
  <c r="E63" i="1"/>
  <c r="F62" i="1"/>
  <c r="E62" i="1"/>
  <c r="E61" i="1"/>
  <c r="E59" i="1"/>
  <c r="F56" i="1"/>
  <c r="E56" i="1"/>
  <c r="H55" i="1"/>
  <c r="G55" i="1"/>
  <c r="F55" i="1"/>
  <c r="E55" i="1"/>
  <c r="E54" i="1"/>
  <c r="H52" i="1"/>
  <c r="G52" i="1"/>
  <c r="F52" i="1"/>
  <c r="E52" i="1"/>
  <c r="E51" i="1"/>
  <c r="H50" i="1"/>
  <c r="G50" i="1"/>
  <c r="F50" i="1"/>
  <c r="E50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E42" i="1"/>
  <c r="H40" i="1"/>
  <c r="G40" i="1"/>
  <c r="F40" i="1"/>
  <c r="E40" i="1"/>
  <c r="H39" i="1"/>
  <c r="G39" i="1"/>
  <c r="F39" i="1"/>
  <c r="E39" i="1"/>
  <c r="H38" i="1"/>
  <c r="G38" i="1"/>
  <c r="F38" i="1"/>
  <c r="E38" i="1"/>
  <c r="H35" i="1"/>
  <c r="G35" i="1"/>
  <c r="F35" i="1"/>
  <c r="E35" i="1"/>
  <c r="E34" i="1"/>
  <c r="E33" i="1"/>
  <c r="H32" i="1"/>
  <c r="G32" i="1"/>
  <c r="F32" i="1"/>
  <c r="E32" i="1"/>
  <c r="H31" i="1"/>
  <c r="G31" i="1"/>
  <c r="F31" i="1"/>
  <c r="E31" i="1"/>
  <c r="H28" i="1"/>
  <c r="G28" i="1"/>
  <c r="F28" i="1"/>
  <c r="E28" i="1"/>
  <c r="H27" i="1"/>
  <c r="G27" i="1"/>
  <c r="F27" i="1"/>
  <c r="E27" i="1"/>
  <c r="F26" i="1"/>
  <c r="E26" i="1"/>
  <c r="F25" i="1"/>
  <c r="E25" i="1"/>
  <c r="H22" i="1"/>
  <c r="G22" i="1"/>
  <c r="F22" i="1"/>
  <c r="F21" i="1"/>
  <c r="E21" i="1"/>
  <c r="E22" i="1"/>
  <c r="H17" i="1"/>
  <c r="G17" i="1"/>
  <c r="H18" i="1"/>
  <c r="G18" i="1"/>
  <c r="F18" i="1"/>
  <c r="F17" i="1"/>
  <c r="E18" i="1"/>
  <c r="Z62" i="1" l="1"/>
  <c r="AC62" i="1" s="1"/>
  <c r="Z63" i="1"/>
  <c r="AC63" i="1" s="1"/>
  <c r="Z64" i="1"/>
  <c r="Z61" i="1"/>
  <c r="Y65" i="1"/>
  <c r="Z65" i="1" s="1"/>
  <c r="AA62" i="1" l="1"/>
  <c r="AB62" i="1" s="1"/>
  <c r="AC65" i="1"/>
  <c r="AA65" i="1"/>
  <c r="AB65" i="1" s="1"/>
  <c r="AB63" i="1"/>
  <c r="AC61" i="1"/>
  <c r="Z66" i="1"/>
  <c r="AA61" i="1"/>
  <c r="AB61" i="1" s="1"/>
  <c r="AA63" i="1"/>
  <c r="J24" i="1"/>
  <c r="J49" i="1"/>
  <c r="J58" i="1"/>
  <c r="H69" i="1" l="1"/>
  <c r="G69" i="1"/>
  <c r="D92" i="1"/>
  <c r="D88" i="1"/>
  <c r="D84" i="1"/>
  <c r="D80" i="1"/>
  <c r="D76" i="1"/>
  <c r="D72" i="1"/>
  <c r="D77" i="1"/>
  <c r="D91" i="1"/>
  <c r="D87" i="1"/>
  <c r="D83" i="1"/>
  <c r="D79" i="1"/>
  <c r="D75" i="1"/>
  <c r="D71" i="1"/>
  <c r="D89" i="1"/>
  <c r="D81" i="1"/>
  <c r="D90" i="1"/>
  <c r="D86" i="1"/>
  <c r="D82" i="1"/>
  <c r="D78" i="1"/>
  <c r="D74" i="1"/>
  <c r="D70" i="1"/>
  <c r="D85" i="1"/>
  <c r="D73" i="1"/>
  <c r="AC66" i="1"/>
  <c r="AA66" i="1"/>
  <c r="AB66" i="1"/>
  <c r="C58" i="1"/>
  <c r="C49" i="1"/>
  <c r="C24" i="1"/>
  <c r="C20" i="1"/>
  <c r="K92" i="1"/>
  <c r="L92" i="1" s="1"/>
  <c r="N92" i="1" s="1"/>
  <c r="K91" i="1"/>
  <c r="L91" i="1" s="1"/>
  <c r="N91" i="1" s="1"/>
  <c r="K88" i="1"/>
  <c r="L88" i="1" s="1"/>
  <c r="K89" i="1"/>
  <c r="L89" i="1" s="1"/>
  <c r="N89" i="1" s="1"/>
  <c r="K90" i="1"/>
  <c r="K67" i="1"/>
  <c r="L67" i="1" s="1"/>
  <c r="K66" i="1"/>
  <c r="L66" i="1" s="1"/>
  <c r="F58" i="1" l="1"/>
  <c r="F49" i="1"/>
  <c r="E49" i="1"/>
  <c r="D54" i="1"/>
  <c r="D50" i="1"/>
  <c r="D53" i="1"/>
  <c r="D56" i="1"/>
  <c r="D52" i="1"/>
  <c r="D55" i="1"/>
  <c r="D51" i="1"/>
  <c r="D64" i="1"/>
  <c r="D60" i="1"/>
  <c r="D67" i="1"/>
  <c r="D63" i="1"/>
  <c r="D59" i="1"/>
  <c r="D66" i="1"/>
  <c r="D62" i="1"/>
  <c r="E58" i="1"/>
  <c r="D65" i="1"/>
  <c r="D61" i="1"/>
  <c r="D22" i="1"/>
  <c r="D21" i="1"/>
  <c r="F20" i="1"/>
  <c r="E20" i="1"/>
  <c r="D44" i="1"/>
  <c r="D40" i="1"/>
  <c r="D36" i="1"/>
  <c r="D32" i="1"/>
  <c r="D28" i="1"/>
  <c r="D47" i="1"/>
  <c r="D43" i="1"/>
  <c r="D39" i="1"/>
  <c r="D35" i="1"/>
  <c r="D31" i="1"/>
  <c r="D27" i="1"/>
  <c r="D46" i="1"/>
  <c r="D42" i="1"/>
  <c r="D38" i="1"/>
  <c r="D34" i="1"/>
  <c r="D30" i="1"/>
  <c r="D26" i="1"/>
  <c r="R36" i="1"/>
  <c r="D45" i="1"/>
  <c r="D41" i="1"/>
  <c r="D37" i="1"/>
  <c r="D33" i="1"/>
  <c r="D29" i="1"/>
  <c r="D25" i="1"/>
  <c r="I58" i="1"/>
  <c r="I49" i="1" l="1"/>
  <c r="I24" i="1" l="1"/>
  <c r="E29" i="1" l="1"/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8" i="1"/>
  <c r="L38" i="1" s="1"/>
  <c r="L37" i="1"/>
  <c r="K36" i="1"/>
  <c r="K35" i="1"/>
  <c r="L35" i="1" s="1"/>
  <c r="K34" i="1"/>
  <c r="L34" i="1" s="1"/>
  <c r="K33" i="1"/>
  <c r="L33" i="1" s="1"/>
  <c r="K32" i="1"/>
  <c r="L32" i="1" s="1"/>
  <c r="K31" i="1"/>
  <c r="L31" i="1" s="1"/>
  <c r="L30" i="1"/>
  <c r="K29" i="1"/>
  <c r="L29" i="1" s="1"/>
  <c r="K28" i="1"/>
  <c r="L28" i="1" s="1"/>
  <c r="K27" i="1"/>
  <c r="L27" i="1" s="1"/>
  <c r="K26" i="1"/>
  <c r="L26" i="1" s="1"/>
  <c r="K25" i="1"/>
  <c r="K24" i="1" l="1"/>
  <c r="L41" i="1"/>
  <c r="L25" i="1"/>
  <c r="I20" i="1" l="1"/>
  <c r="J20" i="1"/>
  <c r="E17" i="1" l="1"/>
  <c r="H56" i="1" l="1"/>
  <c r="G56" i="1"/>
  <c r="J16" i="1" l="1"/>
  <c r="J15" i="1" s="1"/>
  <c r="I16" i="1"/>
  <c r="I15" i="1" s="1"/>
  <c r="G12" i="1"/>
  <c r="F12" i="1"/>
  <c r="E12" i="1"/>
  <c r="K16" i="1" l="1"/>
  <c r="J14" i="1"/>
  <c r="I14" i="1" l="1"/>
  <c r="K87" i="1" l="1"/>
  <c r="K86" i="1"/>
  <c r="L86" i="1" s="1"/>
  <c r="N86" i="1" s="1"/>
  <c r="K85" i="1"/>
  <c r="K84" i="1"/>
  <c r="L84" i="1" s="1"/>
  <c r="N84" i="1" s="1"/>
  <c r="K83" i="1"/>
  <c r="K82" i="1"/>
  <c r="K81" i="1"/>
  <c r="K80" i="1"/>
  <c r="L80" i="1" s="1"/>
  <c r="N80" i="1" s="1"/>
  <c r="K79" i="1"/>
  <c r="K78" i="1"/>
  <c r="L78" i="1" s="1"/>
  <c r="N78" i="1" s="1"/>
  <c r="K77" i="1"/>
  <c r="L77" i="1" s="1"/>
  <c r="N77" i="1" s="1"/>
  <c r="K76" i="1"/>
  <c r="L76" i="1" s="1"/>
  <c r="N76" i="1" s="1"/>
  <c r="K75" i="1"/>
  <c r="L75" i="1" s="1"/>
  <c r="N75" i="1" s="1"/>
  <c r="K74" i="1"/>
  <c r="L74" i="1" s="1"/>
  <c r="N74" i="1" s="1"/>
  <c r="K73" i="1"/>
  <c r="L73" i="1" s="1"/>
  <c r="N73" i="1" s="1"/>
  <c r="K72" i="1"/>
  <c r="L72" i="1" s="1"/>
  <c r="N72" i="1" s="1"/>
  <c r="K71" i="1"/>
  <c r="K70" i="1"/>
  <c r="L70" i="1" s="1"/>
  <c r="N70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K56" i="1"/>
  <c r="L56" i="1" s="1"/>
  <c r="K55" i="1"/>
  <c r="L55" i="1" s="1"/>
  <c r="K54" i="1"/>
  <c r="L54" i="1" s="1"/>
  <c r="N54" i="1" s="1"/>
  <c r="K53" i="1"/>
  <c r="L53" i="1" s="1"/>
  <c r="K52" i="1"/>
  <c r="K51" i="1"/>
  <c r="L51" i="1" s="1"/>
  <c r="K50" i="1"/>
  <c r="L22" i="1"/>
  <c r="K21" i="1"/>
  <c r="K69" i="1" l="1"/>
  <c r="L69" i="1" s="1"/>
  <c r="K58" i="1"/>
  <c r="L58" i="1" s="1"/>
  <c r="K49" i="1"/>
  <c r="R91" i="1"/>
  <c r="S91" i="1" s="1"/>
  <c r="R92" i="1"/>
  <c r="S92" i="1" s="1"/>
  <c r="R88" i="1"/>
  <c r="S88" i="1" s="1"/>
  <c r="R89" i="1"/>
  <c r="S89" i="1" s="1"/>
  <c r="R90" i="1"/>
  <c r="S90" i="1" s="1"/>
  <c r="R66" i="1"/>
  <c r="S66" i="1" s="1"/>
  <c r="R67" i="1"/>
  <c r="S67" i="1" s="1"/>
  <c r="R71" i="1"/>
  <c r="S71" i="1" s="1"/>
  <c r="R73" i="1"/>
  <c r="S73" i="1" s="1"/>
  <c r="R75" i="1"/>
  <c r="S75" i="1" s="1"/>
  <c r="R70" i="1"/>
  <c r="S70" i="1" s="1"/>
  <c r="R72" i="1"/>
  <c r="S72" i="1" s="1"/>
  <c r="R74" i="1"/>
  <c r="S74" i="1" s="1"/>
  <c r="R62" i="1"/>
  <c r="S62" i="1" s="1"/>
  <c r="R65" i="1"/>
  <c r="S65" i="1" s="1"/>
  <c r="R59" i="1"/>
  <c r="S59" i="1" s="1"/>
  <c r="R63" i="1"/>
  <c r="S63" i="1" s="1"/>
  <c r="R61" i="1"/>
  <c r="S61" i="1" s="1"/>
  <c r="R60" i="1"/>
  <c r="S60" i="1" s="1"/>
  <c r="R64" i="1"/>
  <c r="S64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40" i="1"/>
  <c r="S40" i="1" s="1"/>
  <c r="R28" i="1"/>
  <c r="S28" i="1" s="1"/>
  <c r="R42" i="1"/>
  <c r="S42" i="1" s="1"/>
  <c r="R30" i="1"/>
  <c r="S30" i="1" s="1"/>
  <c r="R44" i="1"/>
  <c r="S44" i="1" s="1"/>
  <c r="R32" i="1"/>
  <c r="S32" i="1" s="1"/>
  <c r="R38" i="1"/>
  <c r="S38" i="1" s="1"/>
  <c r="R26" i="1"/>
  <c r="S26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46" i="1"/>
  <c r="S46" i="1" s="1"/>
  <c r="R34" i="1"/>
  <c r="S34" i="1" s="1"/>
  <c r="L50" i="1"/>
  <c r="L59" i="1"/>
  <c r="R21" i="1"/>
  <c r="S21" i="1" s="1"/>
  <c r="R22" i="1"/>
  <c r="S22" i="1" s="1"/>
  <c r="L24" i="1"/>
  <c r="L52" i="1"/>
  <c r="L21" i="1"/>
  <c r="K20" i="1"/>
  <c r="R86" i="1"/>
  <c r="S86" i="1" s="1"/>
  <c r="R82" i="1"/>
  <c r="S82" i="1" s="1"/>
  <c r="R78" i="1"/>
  <c r="S78" i="1" s="1"/>
  <c r="R83" i="1"/>
  <c r="S83" i="1" s="1"/>
  <c r="R85" i="1"/>
  <c r="S85" i="1" s="1"/>
  <c r="R81" i="1"/>
  <c r="S81" i="1" s="1"/>
  <c r="R77" i="1"/>
  <c r="S77" i="1" s="1"/>
  <c r="R87" i="1"/>
  <c r="S87" i="1" s="1"/>
  <c r="R84" i="1"/>
  <c r="S84" i="1" s="1"/>
  <c r="R80" i="1"/>
  <c r="S80" i="1" s="1"/>
  <c r="R76" i="1"/>
  <c r="S76" i="1" s="1"/>
  <c r="R79" i="1"/>
  <c r="S79" i="1" s="1"/>
  <c r="C16" i="1"/>
  <c r="K18" i="1"/>
  <c r="K17" i="1"/>
  <c r="L17" i="1" s="1"/>
  <c r="S69" i="1" l="1"/>
  <c r="H16" i="1"/>
  <c r="F16" i="1"/>
  <c r="D17" i="1"/>
  <c r="G16" i="1"/>
  <c r="E16" i="1"/>
  <c r="D18" i="1"/>
  <c r="S20" i="1"/>
  <c r="M20" i="1" s="1"/>
  <c r="S36" i="1"/>
  <c r="S24" i="1" s="1"/>
  <c r="S58" i="1"/>
  <c r="R50" i="1"/>
  <c r="S50" i="1" s="1"/>
  <c r="R54" i="1"/>
  <c r="S54" i="1" s="1"/>
  <c r="R51" i="1"/>
  <c r="S51" i="1" s="1"/>
  <c r="R55" i="1"/>
  <c r="S55" i="1" s="1"/>
  <c r="R52" i="1"/>
  <c r="S52" i="1" s="1"/>
  <c r="R56" i="1"/>
  <c r="S56" i="1" s="1"/>
  <c r="R53" i="1"/>
  <c r="S53" i="1" s="1"/>
  <c r="C15" i="1"/>
  <c r="L20" i="1"/>
  <c r="K15" i="1"/>
  <c r="L49" i="1"/>
  <c r="R18" i="1"/>
  <c r="S18" i="1" s="1"/>
  <c r="R17" i="1"/>
  <c r="S17" i="1" s="1"/>
  <c r="K12" i="1"/>
  <c r="L12" i="1" s="1"/>
  <c r="J11" i="1"/>
  <c r="I11" i="1"/>
  <c r="C11" i="1"/>
  <c r="D12" i="1" s="1"/>
  <c r="G15" i="1" l="1"/>
  <c r="H15" i="1"/>
  <c r="E15" i="1"/>
  <c r="E14" i="1" s="1"/>
  <c r="F15" i="1"/>
  <c r="I10" i="1"/>
  <c r="I95" i="1"/>
  <c r="D20" i="1"/>
  <c r="G14" i="1"/>
  <c r="D16" i="1"/>
  <c r="H14" i="1"/>
  <c r="D58" i="1"/>
  <c r="F14" i="1"/>
  <c r="D49" i="1"/>
  <c r="D24" i="1"/>
  <c r="D69" i="1"/>
  <c r="M24" i="1"/>
  <c r="J10" i="1"/>
  <c r="J95" i="1"/>
  <c r="S49" i="1"/>
  <c r="S16" i="1"/>
  <c r="M16" i="1" s="1"/>
  <c r="R12" i="1"/>
  <c r="S12" i="1" s="1"/>
  <c r="K11" i="1"/>
  <c r="L11" i="1" l="1"/>
  <c r="L15" i="1" l="1"/>
  <c r="K14" i="1"/>
  <c r="L16" i="1"/>
  <c r="K10" i="1" l="1"/>
  <c r="K95" i="1"/>
  <c r="C14" i="1"/>
  <c r="C10" i="1" s="1"/>
  <c r="H10" i="1" l="1"/>
  <c r="G10" i="1"/>
  <c r="E10" i="1"/>
  <c r="F10" i="1"/>
  <c r="T49" i="1"/>
  <c r="T12" i="1"/>
  <c r="U12" i="1" s="1"/>
  <c r="U11" i="1" s="1"/>
  <c r="T58" i="1"/>
  <c r="T24" i="1"/>
  <c r="T20" i="1"/>
  <c r="T16" i="1"/>
  <c r="T69" i="1"/>
  <c r="C95" i="1"/>
  <c r="L10" i="1"/>
  <c r="L14" i="1"/>
  <c r="U16" i="1" l="1"/>
  <c r="U24" i="1"/>
  <c r="U20" i="1"/>
  <c r="D10" i="1" l="1"/>
  <c r="N18" i="1"/>
  <c r="D15" i="1"/>
  <c r="N15" i="1" s="1"/>
  <c r="D14" i="1"/>
  <c r="N14" i="1" s="1"/>
  <c r="O12" i="1"/>
  <c r="N17" i="1"/>
  <c r="L95" i="1"/>
  <c r="O16" i="1"/>
  <c r="D11" i="1"/>
  <c r="O11" i="1" l="1"/>
  <c r="D95" i="1"/>
  <c r="O90" i="1"/>
  <c r="N66" i="1"/>
  <c r="O66" i="1"/>
  <c r="O88" i="1"/>
  <c r="O92" i="1"/>
  <c r="N67" i="1"/>
  <c r="O67" i="1"/>
  <c r="O89" i="1"/>
  <c r="O91" i="1"/>
  <c r="O39" i="1"/>
  <c r="N39" i="1"/>
  <c r="O44" i="1"/>
  <c r="N44" i="1"/>
  <c r="O46" i="1"/>
  <c r="N46" i="1"/>
  <c r="O43" i="1"/>
  <c r="N43" i="1"/>
  <c r="O32" i="1"/>
  <c r="N32" i="1"/>
  <c r="O37" i="1"/>
  <c r="N37" i="1"/>
  <c r="O26" i="1"/>
  <c r="N26" i="1"/>
  <c r="O28" i="1"/>
  <c r="N28" i="1"/>
  <c r="O30" i="1"/>
  <c r="N30" i="1"/>
  <c r="O34" i="1"/>
  <c r="N34" i="1"/>
  <c r="O31" i="1"/>
  <c r="N31" i="1"/>
  <c r="O47" i="1"/>
  <c r="N47" i="1"/>
  <c r="O36" i="1"/>
  <c r="N36" i="1"/>
  <c r="O25" i="1"/>
  <c r="N25" i="1"/>
  <c r="O41" i="1"/>
  <c r="N41" i="1"/>
  <c r="O42" i="1"/>
  <c r="N42" i="1"/>
  <c r="O33" i="1"/>
  <c r="N33" i="1"/>
  <c r="O38" i="1"/>
  <c r="N38" i="1"/>
  <c r="O35" i="1"/>
  <c r="N35" i="1"/>
  <c r="O27" i="1"/>
  <c r="N27" i="1"/>
  <c r="O40" i="1"/>
  <c r="N40" i="1"/>
  <c r="O29" i="1"/>
  <c r="N29" i="1"/>
  <c r="O45" i="1"/>
  <c r="N45" i="1"/>
  <c r="O18" i="1"/>
  <c r="N10" i="1"/>
  <c r="N95" i="1" s="1"/>
  <c r="N16" i="1"/>
  <c r="O17" i="1"/>
  <c r="O83" i="1"/>
  <c r="O65" i="1"/>
  <c r="N65" i="1"/>
  <c r="O81" i="1"/>
  <c r="O52" i="1"/>
  <c r="N52" i="1"/>
  <c r="O60" i="1"/>
  <c r="N60" i="1"/>
  <c r="O79" i="1"/>
  <c r="O22" i="1"/>
  <c r="N22" i="1"/>
  <c r="O55" i="1"/>
  <c r="N55" i="1"/>
  <c r="O77" i="1"/>
  <c r="N24" i="1"/>
  <c r="O24" i="1"/>
  <c r="N20" i="1"/>
  <c r="O20" i="1"/>
  <c r="O51" i="1"/>
  <c r="N51" i="1"/>
  <c r="O70" i="1"/>
  <c r="O21" i="1"/>
  <c r="N21" i="1"/>
  <c r="O73" i="1"/>
  <c r="O63" i="1"/>
  <c r="N63" i="1"/>
  <c r="O86" i="1"/>
  <c r="O74" i="1"/>
  <c r="O84" i="1"/>
  <c r="N69" i="1"/>
  <c r="O71" i="1"/>
  <c r="O82" i="1"/>
  <c r="O56" i="1"/>
  <c r="N56" i="1"/>
  <c r="O64" i="1"/>
  <c r="N64" i="1"/>
  <c r="O87" i="1"/>
  <c r="O75" i="1"/>
  <c r="O85" i="1"/>
  <c r="O50" i="1"/>
  <c r="N50" i="1"/>
  <c r="N11" i="1"/>
  <c r="N12" i="1"/>
  <c r="O53" i="1"/>
  <c r="N53" i="1"/>
  <c r="O61" i="1"/>
  <c r="N61" i="1"/>
  <c r="O72" i="1"/>
  <c r="O62" i="1"/>
  <c r="N62" i="1"/>
  <c r="O80" i="1"/>
  <c r="N58" i="1"/>
  <c r="O59" i="1"/>
  <c r="N59" i="1"/>
  <c r="O78" i="1"/>
  <c r="N49" i="1"/>
  <c r="O54" i="1"/>
  <c r="O76" i="1"/>
  <c r="M58" i="1"/>
  <c r="U58" i="1" s="1"/>
  <c r="M49" i="1"/>
  <c r="U49" i="1" s="1"/>
  <c r="M69" i="1"/>
  <c r="U69" i="1" s="1"/>
  <c r="U15" i="1" l="1"/>
  <c r="U14" i="1" s="1"/>
  <c r="U10" i="1" s="1"/>
  <c r="M10" i="1" s="1"/>
  <c r="O10" i="1" s="1"/>
  <c r="O95" i="1" s="1"/>
  <c r="O69" i="1"/>
  <c r="O49" i="1"/>
  <c r="O58" i="1"/>
  <c r="M15" i="1" l="1"/>
  <c r="O15" i="1" s="1"/>
  <c r="M14" i="1"/>
  <c r="O14" i="1" s="1"/>
  <c r="M95" i="1"/>
</calcChain>
</file>

<file path=xl/sharedStrings.xml><?xml version="1.0" encoding="utf-8"?>
<sst xmlns="http://schemas.openxmlformats.org/spreadsheetml/2006/main" count="204" uniqueCount="192">
  <si>
    <t>Kode</t>
  </si>
  <si>
    <t>Uraian</t>
  </si>
  <si>
    <t>Anggaran</t>
  </si>
  <si>
    <t>Jumlah (Rp)</t>
  </si>
  <si>
    <t>Bobot (%)</t>
  </si>
  <si>
    <t>Realisasi Keuangan (Rp)</t>
  </si>
  <si>
    <t>S/D Bulan Lalu</t>
  </si>
  <si>
    <t>Bulan Ini</t>
  </si>
  <si>
    <t>S/D Bulan Ini</t>
  </si>
  <si>
    <t>J   U   M   L   A   H</t>
  </si>
  <si>
    <t>Sumber Dana</t>
  </si>
  <si>
    <t>Program Dan Kegiatan Pembangunan</t>
  </si>
  <si>
    <t>Capaian Kinerja (%)</t>
  </si>
  <si>
    <t>Individual</t>
  </si>
  <si>
    <t>Keu.</t>
  </si>
  <si>
    <t>Fisik</t>
  </si>
  <si>
    <t>Tertimbang</t>
  </si>
  <si>
    <t>Rencana Penyerapan Triwulanan (%)</t>
  </si>
  <si>
    <t>I</t>
  </si>
  <si>
    <t>II</t>
  </si>
  <si>
    <t>III</t>
  </si>
  <si>
    <t>IV</t>
  </si>
  <si>
    <t>LAPBD-01</t>
  </si>
  <si>
    <t xml:space="preserve"> </t>
  </si>
  <si>
    <t>Bbt Sub Keg/Keg</t>
  </si>
  <si>
    <t>Alur Penghitungan rata2 capaian Fisik Keg &amp; Program</t>
  </si>
  <si>
    <t>Bbt Kegiatan/Program</t>
  </si>
  <si>
    <t>RSUD DOKTER SOESELO KABUPATEN TEGAL</t>
  </si>
  <si>
    <t>PROGRAM PENUNJANG URUSAN PEMERINTAHAN DAERAH</t>
  </si>
  <si>
    <t>Penyediaan Jasa Penunjang Urusan Pemerintahan Daerah</t>
  </si>
  <si>
    <t>Penyediaan Jasa Pelayanan Umum Kantor</t>
  </si>
  <si>
    <t>Peningkatan Pelayanan BLUD</t>
  </si>
  <si>
    <t>Pelayanan dan Penunjang Pelayanan BLUD</t>
  </si>
  <si>
    <t>Bidang Pelayanan Medis</t>
  </si>
  <si>
    <t>Pelaksanaan Survei Akreditasi Rumah Sakit</t>
  </si>
  <si>
    <t>Pelaksanaan Program Kerja Komite Medis</t>
  </si>
  <si>
    <t xml:space="preserve">Bidang Penunjang </t>
  </si>
  <si>
    <t>Bagian Keuangan</t>
  </si>
  <si>
    <t>Penatausahaan dan Pelaporan Administrasi Keuangan Daerah</t>
  </si>
  <si>
    <t>Penyediaan Barang Cetakan dan Penggandaan</t>
  </si>
  <si>
    <t>Gaji Pegawai BLUD</t>
  </si>
  <si>
    <t>Peningkatan Pelayanan Medik</t>
  </si>
  <si>
    <t>Pembayaran Tagihan Pihak Ketiga</t>
  </si>
  <si>
    <t>Audit Laporan Keuangan BLUD</t>
  </si>
  <si>
    <t>Bagian Perencanaan dan Diklitbang</t>
  </si>
  <si>
    <t>Penyusunan Profil RS, LKjIP, Renja, dan RBA</t>
  </si>
  <si>
    <t>Forum OPD dan Musrenbang Rumah Sakit</t>
  </si>
  <si>
    <t>Pemeliharaan dan penyediaan suku cadang Hardware Unit PDE</t>
  </si>
  <si>
    <t>Pengelolaan Rumah Sakit Pendidikan</t>
  </si>
  <si>
    <t>Bagian Tata Usaha</t>
  </si>
  <si>
    <t>Perencanaan, Rekruitmen, Pengelolaan dan Evaluasi ASDM RS</t>
  </si>
  <si>
    <t>Pemeliharaan Kendaraan Operasional</t>
  </si>
  <si>
    <t xml:space="preserve">Pengadaan ATK, Benda Pos dan Jasa Pengiriman </t>
  </si>
  <si>
    <t>Penyediaan bahan bacaan dan Promosi</t>
  </si>
  <si>
    <t>Penyediaan Biaya Perjalanan Dinas</t>
  </si>
  <si>
    <t>Vaksinasi dan Pemeriksaan Kesehatan Pegawai</t>
  </si>
  <si>
    <t>Pengadaan Meubelair</t>
  </si>
  <si>
    <t>Bidang Pelayanan Keperawatan</t>
  </si>
  <si>
    <t>Pelayanan Makan Minum Pasien</t>
  </si>
  <si>
    <t>Kebersihan Rumah Sakit</t>
  </si>
  <si>
    <t>1.02.1-02.0-00.0-00.01.01</t>
  </si>
  <si>
    <t>1.02.1-02.0-00.0-00.01.01.2.08</t>
  </si>
  <si>
    <t>1.02.1-02.0-00.0-00.01.01.2.08.04</t>
  </si>
  <si>
    <t>1.02.1-02.0-00.0-00.01.01.2.10</t>
  </si>
  <si>
    <t>1.02.1-02.0-00.0-00.01.01.2.10.01</t>
  </si>
  <si>
    <t>1.02.1.02.01.01.01.01</t>
  </si>
  <si>
    <t>1.02.1.02.01.01.01.02</t>
  </si>
  <si>
    <t>1.02.1.02.01.01.02.01</t>
  </si>
  <si>
    <t>1.02.1.02.01.01.02.02</t>
  </si>
  <si>
    <t>1.02.1.02.01.01.04.01</t>
  </si>
  <si>
    <t>1.02.1.02.01.01.04.02</t>
  </si>
  <si>
    <t>1.02.1.02.01.01.04.03</t>
  </si>
  <si>
    <t>1.02.1.02.01.01.04.04</t>
  </si>
  <si>
    <t>1.02.1.02.01.01.04.05</t>
  </si>
  <si>
    <t>1.02.1.02.01.01.04.06</t>
  </si>
  <si>
    <t>1.02.1.02.01.01.04.07</t>
  </si>
  <si>
    <t>1.02.1.02.01.01.05.01</t>
  </si>
  <si>
    <t>1.02.1.02.01.01.05.02</t>
  </si>
  <si>
    <t>1.02.1.02.01.01.05.03</t>
  </si>
  <si>
    <t>1.02.1.02.01.01.05.04</t>
  </si>
  <si>
    <t>1.02.1.02.01.01.05.05</t>
  </si>
  <si>
    <t>1.02.1.02.01.01.05.07</t>
  </si>
  <si>
    <t>1.02.1.02.01.01.06.01</t>
  </si>
  <si>
    <t>1.02.1.02.01.01.06.02</t>
  </si>
  <si>
    <t>1.02.1.02.01.01.06.03</t>
  </si>
  <si>
    <t>1.02.1.02.01.01.06.04</t>
  </si>
  <si>
    <t>1.02.1.02.01.01.06.05</t>
  </si>
  <si>
    <t>1.02.1.02.01.01.06.06</t>
  </si>
  <si>
    <t>1.02.1.02.01.01.06.07</t>
  </si>
  <si>
    <t>1.02.1.02.01.01.06.08</t>
  </si>
  <si>
    <t>1.02.1.02.01.01.06.09</t>
  </si>
  <si>
    <t>1.02.1.02.01.01.06.10</t>
  </si>
  <si>
    <t>1.02.1.02.01.01.06.11</t>
  </si>
  <si>
    <t>1.02.1.02.01.01.06.12</t>
  </si>
  <si>
    <t>1.02.1.02.01.01.06.13</t>
  </si>
  <si>
    <t>1.02.1.02.01.01.06.14</t>
  </si>
  <si>
    <t>1.02.1.02.01.01.06.15</t>
  </si>
  <si>
    <t>1.02.1.02.01.01.06.16</t>
  </si>
  <si>
    <t>1.02.1.02.01.01.06.17</t>
  </si>
  <si>
    <t>1.02.1.02.01.01.06.18</t>
  </si>
  <si>
    <t>BLUD</t>
  </si>
  <si>
    <t>APBD</t>
  </si>
  <si>
    <t>dr. Guntur Muhammad Taqwin, M.Sc., Sp.An</t>
  </si>
  <si>
    <t>Direktur RSUD dr. Soeselo</t>
  </si>
  <si>
    <t>Kabupaten Tegal</t>
  </si>
  <si>
    <t>NIP. 19700309 200312 1 005</t>
  </si>
  <si>
    <t>1.02.1.02.01.01.03.01</t>
  </si>
  <si>
    <t>Pelayanan Obat-obatan</t>
  </si>
  <si>
    <t>1.02.1.02.01.01.03.02</t>
  </si>
  <si>
    <t>Pelayanan Alat Kesehatan Pakai Habis</t>
  </si>
  <si>
    <t>1.02.1.02.01.01.03.03</t>
  </si>
  <si>
    <t>Pelayanan Farmasi</t>
  </si>
  <si>
    <t>1.02.1.02.01.01.03.04</t>
  </si>
  <si>
    <t>Pelayanan Laboratorium</t>
  </si>
  <si>
    <t>1.02.1.02.01.01.03.05</t>
  </si>
  <si>
    <t>Pelayanan Bank Darah Rumah Sakit</t>
  </si>
  <si>
    <t>1.02.1.02.01.01.03.06</t>
  </si>
  <si>
    <t>Pelayanan Radiologi</t>
  </si>
  <si>
    <t>1.02.1.02.01.01.03.07</t>
  </si>
  <si>
    <t>Pelayanan Hemodialisa</t>
  </si>
  <si>
    <t>1.02.1.02.01.01.03.08</t>
  </si>
  <si>
    <t>Pelayanan Rehabilitasi Medik</t>
  </si>
  <si>
    <t>1.02.1.02.01.01.03.09</t>
  </si>
  <si>
    <t>Pengadaan Barang cetakan Rekam Medis</t>
  </si>
  <si>
    <t>1.02.1.02.01.01.03.10</t>
  </si>
  <si>
    <t>Pengadaan Perlengkapan Rekam Medis</t>
  </si>
  <si>
    <t>1.02.1.02.01.01.03.11</t>
  </si>
  <si>
    <t>Pengadaan Perlengkapan Pendaftaran Pasien Rumah Sakit</t>
  </si>
  <si>
    <t>1.02.1.02.01.01.03.12</t>
  </si>
  <si>
    <t>1.02.1.02.01.01.03.13</t>
  </si>
  <si>
    <t>Pelayanan Pemulasaran Jenazah</t>
  </si>
  <si>
    <t>1.02.1.02.01.01.03.14</t>
  </si>
  <si>
    <t>Pelayanan Sanitasi dan Laundry</t>
  </si>
  <si>
    <t>1.02.1.02.01.01.03.15</t>
  </si>
  <si>
    <t>Pelayanan CSSD</t>
  </si>
  <si>
    <t>1.02.1.02.01.01.03.16</t>
  </si>
  <si>
    <t>Pengelola Sampah Medis</t>
  </si>
  <si>
    <t>1.02.1.02.01.01.03.17</t>
  </si>
  <si>
    <t>Pelayanan PPI</t>
  </si>
  <si>
    <t>1.02.1.02.01.01.03.18</t>
  </si>
  <si>
    <t>Pelayanan IPSRS</t>
  </si>
  <si>
    <t>1.02.1.02.01.01.03.19</t>
  </si>
  <si>
    <t>Perlengkapan Pelayanan Pasien</t>
  </si>
  <si>
    <t>1.02.1.02.01.01.03.20</t>
  </si>
  <si>
    <t>Pengadaan Alkes Rumah Sakit</t>
  </si>
  <si>
    <t>1.02.1.02.01.01.03.21</t>
  </si>
  <si>
    <t>1.02.1.02.01.01.03.22</t>
  </si>
  <si>
    <t>1.02.1.02.01.01.03.23</t>
  </si>
  <si>
    <t>1.02.1.02.01.01.05.09</t>
  </si>
  <si>
    <t>1.02.1.02.01.01.05.10</t>
  </si>
  <si>
    <t>1.02.1.02.01.01.06.19</t>
  </si>
  <si>
    <t>1.02.1.02.01.01.06.20</t>
  </si>
  <si>
    <t>1.02.1.02.01.01.06.21</t>
  </si>
  <si>
    <t>1.02.1.02.01.01.06.22</t>
  </si>
  <si>
    <t>1.02.1.02.01.01.06.23</t>
  </si>
  <si>
    <t>Pendidikan dan Pelatihan</t>
  </si>
  <si>
    <t>BTCLS</t>
  </si>
  <si>
    <t>Internal</t>
  </si>
  <si>
    <t>Eksterna</t>
  </si>
  <si>
    <t>Outbond</t>
  </si>
  <si>
    <t>Honor</t>
  </si>
  <si>
    <t>Pembina Utama Muda</t>
  </si>
  <si>
    <t>LAPORAN BULANAN PELAKSANAAN PROGRAM DAN KEGIATAN PEMBANGUNAN TAHUN ANGGARAN 2022</t>
  </si>
  <si>
    <t>Penataan/ pemeliharaan IPAL  RS</t>
  </si>
  <si>
    <t>Penataan jaringan kabel data, listrik dll</t>
  </si>
  <si>
    <t xml:space="preserve">Penataan Sarana Air Bersih, IPAL dll </t>
  </si>
  <si>
    <t>Pengadaan Prasarana Listrik RS</t>
  </si>
  <si>
    <t>Kegiatan Emergency oerasional Pelayanan  RS</t>
  </si>
  <si>
    <t>Pengadaan PAC/RIS Hardware PDE dan Pemenuhan Lisensi  dll</t>
  </si>
  <si>
    <t>Pembuatan DED Gedung Laundry dan Manajemen Konstruksi Gedung Gizi</t>
  </si>
  <si>
    <t>Review Masterplan RS dan Pembuatan Maket</t>
  </si>
  <si>
    <t>Survey Kepuasan Pelanggan</t>
  </si>
  <si>
    <t>Asuransi Pelayanan Medik / Pengelolaan Asuransi Profesi Dokter</t>
  </si>
  <si>
    <t>Penyediaan Makan dan Minum Rapat/Tamu dan Karyawan</t>
  </si>
  <si>
    <t>Pengadaan Barang Cetakan Umum</t>
  </si>
  <si>
    <t>Pengadaan Peralatan Perlengkapan Gedung Kantor</t>
  </si>
  <si>
    <t>Renovasi Pagar Depan Gedung Layanan Geriatri dan Rehab Medik</t>
  </si>
  <si>
    <t>Renovasi Gedung IPSRS</t>
  </si>
  <si>
    <t>Pengadaan Kendaraan Dinas Operasional</t>
  </si>
  <si>
    <t>Renovasi Ruang Direksi dan Ruang Rapat Eks Keperawatan</t>
  </si>
  <si>
    <t>Pembangunan Tembok Keliling (Belakang) Rumah Sakit</t>
  </si>
  <si>
    <t>Pembangunan Gedung Gizi</t>
  </si>
  <si>
    <t>Pengadaan Seragam Karyawan RS</t>
  </si>
  <si>
    <t>Pemindahan/Penataan Barang RS</t>
  </si>
  <si>
    <t xml:space="preserve">Renovasi ruang Nusa Indah  </t>
  </si>
  <si>
    <t>Pengadaan Tanah RS</t>
  </si>
  <si>
    <t>Pembangunan Gedung Pengembangan Layanan Geriatri, Rehab Medik, Anak, dan Tumbuh Kembang Terpadu Tahap 2.</t>
  </si>
  <si>
    <t>Pembangunan Lanjutan Pujasera</t>
  </si>
  <si>
    <t>Penataan Ruang Cathlab Tahap II</t>
  </si>
  <si>
    <t>1.02.1.02.01.01.06.24</t>
  </si>
  <si>
    <t>BULAN SEPTEMBER 2022</t>
  </si>
  <si>
    <t>Slawi,  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</si>
</sst>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\-_);_(@_)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1"/>
      <scheme val="minor"/>
    </font>
    <font>
      <sz val="11"/>
      <name val="Calibri"/>
      <family val="2"/>
      <scheme val="minor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0" borderId="0"/>
    <xf numFmtId="43" fontId="1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0" borderId="0" xfId="0" applyFont="1"/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20" fontId="9" fillId="8" borderId="1" xfId="0" applyNumberFormat="1" applyFont="1" applyFill="1" applyBorder="1" applyAlignment="1">
      <alignment vertical="top"/>
    </xf>
    <xf numFmtId="20" fontId="8" fillId="0" borderId="1" xfId="0" applyNumberFormat="1" applyFont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8" fontId="14" fillId="2" borderId="1" xfId="11" applyNumberFormat="1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168" fontId="1" fillId="0" borderId="0" xfId="0" applyNumberFormat="1" applyFont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168" fontId="14" fillId="0" borderId="1" xfId="19" applyNumberFormat="1" applyFont="1" applyBorder="1" applyAlignment="1">
      <alignment vertical="top"/>
    </xf>
    <xf numFmtId="43" fontId="16" fillId="2" borderId="1" xfId="0" applyNumberFormat="1" applyFont="1" applyFill="1" applyBorder="1" applyAlignment="1">
      <alignment vertical="top"/>
    </xf>
    <xf numFmtId="43" fontId="16" fillId="0" borderId="1" xfId="0" applyNumberFormat="1" applyFont="1" applyBorder="1" applyAlignment="1">
      <alignment vertical="top"/>
    </xf>
    <xf numFmtId="43" fontId="16" fillId="2" borderId="1" xfId="1" applyFont="1" applyFill="1" applyBorder="1" applyAlignment="1">
      <alignment vertical="top"/>
    </xf>
    <xf numFmtId="16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0" xfId="0" applyAlignment="1">
      <alignment vertical="top"/>
    </xf>
    <xf numFmtId="2" fontId="1" fillId="3" borderId="0" xfId="0" applyNumberFormat="1" applyFont="1" applyFill="1" applyAlignment="1">
      <alignment vertical="top"/>
    </xf>
    <xf numFmtId="2" fontId="1" fillId="4" borderId="0" xfId="0" applyNumberFormat="1" applyFont="1" applyFill="1" applyAlignment="1">
      <alignment vertical="top"/>
    </xf>
    <xf numFmtId="2" fontId="0" fillId="0" borderId="0" xfId="0" applyNumberFormat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20" fontId="8" fillId="2" borderId="1" xfId="0" applyNumberFormat="1" applyFont="1" applyFill="1" applyBorder="1" applyAlignment="1">
      <alignment vertical="top"/>
    </xf>
    <xf numFmtId="166" fontId="0" fillId="0" borderId="0" xfId="0" applyNumberFormat="1" applyAlignment="1">
      <alignment vertical="top"/>
    </xf>
    <xf numFmtId="0" fontId="8" fillId="0" borderId="1" xfId="0" applyFont="1" applyBorder="1" applyAlignment="1">
      <alignment horizontal="left" vertical="top" wrapText="1"/>
    </xf>
    <xf numFmtId="41" fontId="0" fillId="0" borderId="0" xfId="0" applyNumberFormat="1" applyAlignment="1">
      <alignment vertical="top"/>
    </xf>
    <xf numFmtId="0" fontId="16" fillId="0" borderId="1" xfId="0" applyFont="1" applyBorder="1" applyAlignment="1">
      <alignment vertical="top"/>
    </xf>
    <xf numFmtId="166" fontId="10" fillId="8" borderId="1" xfId="0" applyNumberFormat="1" applyFont="1" applyFill="1" applyBorder="1" applyAlignment="1">
      <alignment vertical="top"/>
    </xf>
    <xf numFmtId="166" fontId="16" fillId="0" borderId="1" xfId="1" applyNumberFormat="1" applyFont="1" applyBorder="1" applyAlignment="1">
      <alignment vertical="top"/>
    </xf>
    <xf numFmtId="0" fontId="1" fillId="8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6" fillId="0" borderId="1" xfId="1" applyFont="1" applyFill="1" applyBorder="1" applyAlignment="1">
      <alignment vertical="top"/>
    </xf>
    <xf numFmtId="168" fontId="0" fillId="2" borderId="1" xfId="0" applyNumberFormat="1" applyFill="1" applyBorder="1" applyAlignment="1">
      <alignment vertical="top"/>
    </xf>
    <xf numFmtId="10" fontId="2" fillId="0" borderId="0" xfId="10" applyNumberFormat="1" applyFont="1"/>
    <xf numFmtId="10" fontId="0" fillId="0" borderId="0" xfId="0" applyNumberFormat="1"/>
    <xf numFmtId="41" fontId="0" fillId="0" borderId="0" xfId="0" applyNumberFormat="1"/>
    <xf numFmtId="20" fontId="8" fillId="0" borderId="3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43" fontId="16" fillId="2" borderId="11" xfId="1" applyFont="1" applyFill="1" applyBorder="1" applyAlignment="1">
      <alignment vertical="top"/>
    </xf>
    <xf numFmtId="0" fontId="0" fillId="0" borderId="11" xfId="0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43" fontId="1" fillId="0" borderId="4" xfId="0" applyNumberFormat="1" applyFont="1" applyBorder="1" applyAlignment="1">
      <alignment vertical="top"/>
    </xf>
    <xf numFmtId="43" fontId="1" fillId="2" borderId="4" xfId="0" applyNumberFormat="1" applyFont="1" applyFill="1" applyBorder="1" applyAlignment="1">
      <alignment vertical="top"/>
    </xf>
    <xf numFmtId="166" fontId="1" fillId="0" borderId="4" xfId="1" applyNumberFormat="1" applyFont="1" applyBorder="1" applyAlignment="1">
      <alignment vertical="top"/>
    </xf>
    <xf numFmtId="0" fontId="0" fillId="0" borderId="16" xfId="0" applyBorder="1"/>
    <xf numFmtId="43" fontId="14" fillId="0" borderId="1" xfId="1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68" fontId="14" fillId="0" borderId="1" xfId="11" applyNumberFormat="1" applyFont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168" fontId="16" fillId="2" borderId="11" xfId="1" applyNumberFormat="1" applyFont="1" applyFill="1" applyBorder="1" applyAlignment="1">
      <alignment vertical="top"/>
    </xf>
    <xf numFmtId="43" fontId="14" fillId="0" borderId="1" xfId="1" applyFont="1" applyFill="1" applyBorder="1" applyAlignment="1">
      <alignment horizontal="center" vertical="top"/>
    </xf>
    <xf numFmtId="43" fontId="14" fillId="2" borderId="1" xfId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/>
    </xf>
    <xf numFmtId="166" fontId="16" fillId="2" borderId="0" xfId="1" applyNumberFormat="1" applyFont="1" applyFill="1" applyAlignment="1">
      <alignment vertical="top"/>
    </xf>
    <xf numFmtId="166" fontId="16" fillId="2" borderId="1" xfId="1" applyNumberFormat="1" applyFont="1" applyFill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168" fontId="14" fillId="0" borderId="1" xfId="11" applyNumberFormat="1" applyFont="1" applyFill="1" applyBorder="1" applyAlignment="1">
      <alignment vertical="top"/>
    </xf>
    <xf numFmtId="166" fontId="10" fillId="0" borderId="1" xfId="1" applyNumberFormat="1" applyFont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166" fontId="10" fillId="3" borderId="1" xfId="0" applyNumberFormat="1" applyFont="1" applyFill="1" applyBorder="1" applyAlignment="1">
      <alignment vertical="top"/>
    </xf>
    <xf numFmtId="43" fontId="10" fillId="3" borderId="1" xfId="1" applyFont="1" applyFill="1" applyBorder="1" applyAlignment="1">
      <alignment vertical="top"/>
    </xf>
    <xf numFmtId="166" fontId="10" fillId="3" borderId="1" xfId="1" applyNumberFormat="1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166" fontId="10" fillId="4" borderId="1" xfId="0" applyNumberFormat="1" applyFont="1" applyFill="1" applyBorder="1" applyAlignment="1">
      <alignment vertical="top"/>
    </xf>
    <xf numFmtId="43" fontId="10" fillId="4" borderId="1" xfId="1" applyFont="1" applyFill="1" applyBorder="1" applyAlignment="1">
      <alignment vertical="top"/>
    </xf>
    <xf numFmtId="166" fontId="10" fillId="4" borderId="1" xfId="1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vertical="top"/>
    </xf>
    <xf numFmtId="41" fontId="16" fillId="2" borderId="0" xfId="9" applyFont="1" applyFill="1" applyBorder="1" applyAlignment="1">
      <alignment vertical="top"/>
    </xf>
    <xf numFmtId="43" fontId="16" fillId="0" borderId="0" xfId="1" applyFont="1" applyAlignment="1">
      <alignment horizontal="right" vertical="top"/>
    </xf>
    <xf numFmtId="0" fontId="10" fillId="4" borderId="1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166" fontId="10" fillId="7" borderId="1" xfId="0" applyNumberFormat="1" applyFont="1" applyFill="1" applyBorder="1" applyAlignment="1">
      <alignment vertical="top"/>
    </xf>
    <xf numFmtId="43" fontId="10" fillId="7" borderId="1" xfId="1" applyFont="1" applyFill="1" applyBorder="1" applyAlignment="1">
      <alignment vertical="top"/>
    </xf>
    <xf numFmtId="166" fontId="10" fillId="7" borderId="1" xfId="1" applyNumberFormat="1" applyFont="1" applyFill="1" applyBorder="1" applyAlignment="1">
      <alignment vertical="top"/>
    </xf>
    <xf numFmtId="43" fontId="10" fillId="8" borderId="1" xfId="1" applyFont="1" applyFill="1" applyBorder="1" applyAlignment="1">
      <alignment vertical="top"/>
    </xf>
    <xf numFmtId="166" fontId="10" fillId="8" borderId="1" xfId="1" applyNumberFormat="1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166" fontId="16" fillId="2" borderId="1" xfId="0" applyNumberFormat="1" applyFont="1" applyFill="1" applyBorder="1" applyAlignment="1">
      <alignment vertical="top"/>
    </xf>
    <xf numFmtId="166" fontId="10" fillId="2" borderId="1" xfId="1" applyNumberFormat="1" applyFont="1" applyFill="1" applyBorder="1" applyAlignment="1">
      <alignment vertical="top"/>
    </xf>
    <xf numFmtId="43" fontId="10" fillId="8" borderId="1" xfId="0" applyNumberFormat="1" applyFont="1" applyFill="1" applyBorder="1" applyAlignment="1">
      <alignment horizontal="center" vertical="top"/>
    </xf>
    <xf numFmtId="43" fontId="16" fillId="0" borderId="1" xfId="1" applyFont="1" applyBorder="1" applyAlignment="1">
      <alignment horizontal="right" vertical="top"/>
    </xf>
    <xf numFmtId="168" fontId="14" fillId="0" borderId="1" xfId="19" applyNumberFormat="1" applyFont="1" applyFill="1" applyBorder="1" applyAlignment="1">
      <alignment vertical="top"/>
    </xf>
    <xf numFmtId="166" fontId="16" fillId="0" borderId="1" xfId="1" applyNumberFormat="1" applyFont="1" applyFill="1" applyBorder="1" applyAlignment="1">
      <alignment vertical="top"/>
    </xf>
    <xf numFmtId="168" fontId="14" fillId="2" borderId="1" xfId="19" applyNumberFormat="1" applyFont="1" applyFill="1" applyBorder="1" applyAlignment="1">
      <alignment vertical="top"/>
    </xf>
    <xf numFmtId="0" fontId="16" fillId="0" borderId="15" xfId="0" applyFont="1" applyBorder="1" applyAlignment="1">
      <alignment vertical="top"/>
    </xf>
    <xf numFmtId="41" fontId="16" fillId="0" borderId="1" xfId="9" applyFont="1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168" fontId="14" fillId="0" borderId="10" xfId="19" applyNumberFormat="1" applyFont="1" applyFill="1" applyBorder="1" applyAlignment="1">
      <alignment vertical="top"/>
    </xf>
    <xf numFmtId="43" fontId="16" fillId="0" borderId="11" xfId="0" applyNumberFormat="1" applyFont="1" applyBorder="1" applyAlignment="1">
      <alignment vertical="top"/>
    </xf>
    <xf numFmtId="166" fontId="10" fillId="0" borderId="11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43" fontId="16" fillId="0" borderId="1" xfId="1" applyFont="1" applyBorder="1" applyAlignment="1">
      <alignment vertical="top"/>
    </xf>
    <xf numFmtId="43" fontId="16" fillId="2" borderId="1" xfId="1" applyFont="1" applyFill="1" applyBorder="1" applyAlignment="1">
      <alignment horizontal="center" vertical="top"/>
    </xf>
    <xf numFmtId="43" fontId="16" fillId="0" borderId="11" xfId="1" applyFont="1" applyBorder="1" applyAlignment="1">
      <alignment vertical="top"/>
    </xf>
    <xf numFmtId="43" fontId="1" fillId="2" borderId="4" xfId="1" applyFont="1" applyFill="1" applyBorder="1" applyAlignment="1">
      <alignment vertical="top"/>
    </xf>
    <xf numFmtId="43" fontId="10" fillId="3" borderId="1" xfId="1" applyFont="1" applyFill="1" applyBorder="1" applyAlignment="1">
      <alignment horizontal="right" vertical="top"/>
    </xf>
    <xf numFmtId="43" fontId="10" fillId="4" borderId="1" xfId="1" applyFont="1" applyFill="1" applyBorder="1" applyAlignment="1">
      <alignment horizontal="right" vertical="top"/>
    </xf>
    <xf numFmtId="43" fontId="16" fillId="2" borderId="1" xfId="1" applyFont="1" applyFill="1" applyBorder="1" applyAlignment="1">
      <alignment horizontal="right" vertical="top"/>
    </xf>
    <xf numFmtId="43" fontId="16" fillId="2" borderId="1" xfId="1" applyNumberFormat="1" applyFont="1" applyFill="1" applyBorder="1" applyAlignment="1">
      <alignment vertical="top"/>
    </xf>
  </cellXfs>
  <cellStyles count="30">
    <cellStyle name="Comma" xfId="1" builtinId="3"/>
    <cellStyle name="Comma [0]" xfId="9" builtinId="6"/>
    <cellStyle name="Comma [0] 10 5" xfId="2" xr:uid="{00000000-0005-0000-0000-000002000000}"/>
    <cellStyle name="Comma [0] 10_Lap BKU Kab. smg 12 April " xfId="8" xr:uid="{00000000-0005-0000-0000-000003000000}"/>
    <cellStyle name="Comma [0] 2" xfId="13" xr:uid="{46415DEC-BF01-4F09-BFF5-BB0CBDEB875C}"/>
    <cellStyle name="Comma [0] 2 7" xfId="6" xr:uid="{00000000-0005-0000-0000-000004000000}"/>
    <cellStyle name="Comma [0] 2 7 2" xfId="7" xr:uid="{00000000-0005-0000-0000-000005000000}"/>
    <cellStyle name="Comma [0] 3" xfId="22" xr:uid="{13725F4A-80A0-483A-A547-57A6E39D659D}"/>
    <cellStyle name="Comma [0] 32" xfId="4" xr:uid="{00000000-0005-0000-0000-000006000000}"/>
    <cellStyle name="Comma [0] 4" xfId="27" xr:uid="{1C78929E-AD6E-452C-8743-8039A7F5F6A5}"/>
    <cellStyle name="Comma 2" xfId="14" xr:uid="{E2AEA176-8967-44E8-AD20-5EF73B542F47}"/>
    <cellStyle name="Comma 3" xfId="11" xr:uid="{39A51189-F7B2-4A6D-BFDC-8C542E4E4103}"/>
    <cellStyle name="Comma 3 2" xfId="19" xr:uid="{5C13A774-3284-46B7-9BE5-AE0C12F41427}"/>
    <cellStyle name="Comma 3 3" xfId="24" xr:uid="{5ADC5C67-97F0-4559-838A-F0427F67B51F}"/>
    <cellStyle name="Comma 3 4" xfId="29" xr:uid="{161EB6D4-BBD2-4276-8A0B-C1743E83D7C8}"/>
    <cellStyle name="Comma 4" xfId="21" xr:uid="{1F494F29-8941-4992-A9B8-D654D86039D0}"/>
    <cellStyle name="Comma 5" xfId="26" xr:uid="{6C4348FB-BA17-461B-99B3-B55F4E27F0FB}"/>
    <cellStyle name="Normal" xfId="0" builtinId="0"/>
    <cellStyle name="Normal 10" xfId="3" xr:uid="{00000000-0005-0000-0000-000008000000}"/>
    <cellStyle name="Normal 18" xfId="5" xr:uid="{00000000-0005-0000-0000-000009000000}"/>
    <cellStyle name="Normal 2" xfId="12" xr:uid="{40AA8EA2-A38A-4132-8F95-054235FBF27E}"/>
    <cellStyle name="Normal 2 2" xfId="15" xr:uid="{07FE6F22-56C6-4E1B-9853-DF0151E2430B}"/>
    <cellStyle name="Normal 3" xfId="20" xr:uid="{07E10525-A7E7-4298-93BD-63FE604ED988}"/>
    <cellStyle name="Normal 4" xfId="25" xr:uid="{08FC83FC-A3C2-44DC-993E-38587675EB4B}"/>
    <cellStyle name="Normal 5" xfId="16" xr:uid="{C916247B-1D4B-489A-A17C-3A3B18539C89}"/>
    <cellStyle name="Normal 7" xfId="17" xr:uid="{20099807-5840-4399-B2B6-0CD7BD9A3DDE}"/>
    <cellStyle name="Normal 8" xfId="18" xr:uid="{5597CF4D-F946-4A0F-8FFE-CE78179612BD}"/>
    <cellStyle name="Percent" xfId="10" builtinId="5"/>
    <cellStyle name="Percent 2" xfId="23" xr:uid="{7F781316-2CF8-46F5-9757-E40F0B2BCE74}"/>
    <cellStyle name="Percent 3" xfId="28" xr:uid="{100E86A7-514E-44FF-83F7-CFCC95DC7BF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6"/>
  <sheetViews>
    <sheetView tabSelected="1" view="pageBreakPreview" topLeftCell="A78" zoomScale="70" zoomScaleNormal="90" zoomScaleSheetLayoutView="70" workbookViewId="0">
      <selection activeCell="A85" sqref="A85"/>
    </sheetView>
  </sheetViews>
  <sheetFormatPr defaultRowHeight="15"/>
  <cols>
    <col min="1" max="1" width="27.85546875" style="38" customWidth="1"/>
    <col min="2" max="2" width="46.7109375" style="38" customWidth="1"/>
    <col min="3" max="3" width="18.28515625" customWidth="1"/>
    <col min="4" max="4" width="9" customWidth="1"/>
    <col min="5" max="5" width="9.5703125" customWidth="1"/>
    <col min="6" max="6" width="9.28515625" customWidth="1"/>
    <col min="7" max="7" width="9.42578125" customWidth="1"/>
    <col min="8" max="8" width="10.85546875" customWidth="1"/>
    <col min="9" max="9" width="18.5703125" style="4" customWidth="1"/>
    <col min="10" max="10" width="18.7109375" customWidth="1"/>
    <col min="11" max="11" width="19.5703125" customWidth="1"/>
    <col min="12" max="13" width="10.5703125" customWidth="1"/>
    <col min="14" max="14" width="9.7109375" customWidth="1"/>
    <col min="15" max="15" width="9.85546875" customWidth="1"/>
    <col min="16" max="16" width="16.85546875" customWidth="1"/>
    <col min="17" max="17" width="16.42578125" customWidth="1"/>
    <col min="18" max="18" width="11" customWidth="1"/>
    <col min="19" max="19" width="10.7109375" customWidth="1"/>
    <col min="20" max="20" width="10.5703125" customWidth="1"/>
    <col min="21" max="21" width="11.7109375" customWidth="1"/>
    <col min="25" max="25" width="14.85546875" customWidth="1"/>
    <col min="28" max="28" width="8.7109375" customWidth="1"/>
  </cols>
  <sheetData>
    <row r="1" spans="1:2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8"/>
    </row>
    <row r="2" spans="1:2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6"/>
    </row>
    <row r="3" spans="1:21">
      <c r="A3" s="80" t="s">
        <v>162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21"/>
      <c r="T3" s="33"/>
    </row>
    <row r="4" spans="1:21">
      <c r="A4" s="80" t="s">
        <v>190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2"/>
    </row>
    <row r="5" spans="1:21" ht="15.75" thickBo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34"/>
    </row>
    <row r="6" spans="1:21" s="1" customFormat="1" ht="22.5" customHeight="1" thickTop="1">
      <c r="A6" s="85" t="s">
        <v>11</v>
      </c>
      <c r="B6" s="86"/>
      <c r="C6" s="85" t="s">
        <v>2</v>
      </c>
      <c r="D6" s="86"/>
      <c r="E6" s="85" t="s">
        <v>17</v>
      </c>
      <c r="F6" s="87"/>
      <c r="G6" s="87"/>
      <c r="H6" s="86"/>
      <c r="I6" s="85" t="s">
        <v>5</v>
      </c>
      <c r="J6" s="87"/>
      <c r="K6" s="86"/>
      <c r="L6" s="85" t="s">
        <v>12</v>
      </c>
      <c r="M6" s="87"/>
      <c r="N6" s="87"/>
      <c r="O6" s="86"/>
      <c r="P6" s="88" t="s">
        <v>10</v>
      </c>
      <c r="Q6" s="19"/>
      <c r="R6" s="79" t="s">
        <v>25</v>
      </c>
      <c r="S6" s="79"/>
      <c r="T6" s="79"/>
      <c r="U6" s="79"/>
    </row>
    <row r="7" spans="1:21" s="1" customFormat="1" ht="15.75" customHeight="1">
      <c r="A7" s="96" t="s">
        <v>0</v>
      </c>
      <c r="B7" s="96" t="s">
        <v>1</v>
      </c>
      <c r="C7" s="93" t="s">
        <v>3</v>
      </c>
      <c r="D7" s="98" t="s">
        <v>4</v>
      </c>
      <c r="E7" s="93" t="s">
        <v>18</v>
      </c>
      <c r="F7" s="93" t="s">
        <v>19</v>
      </c>
      <c r="G7" s="93" t="s">
        <v>20</v>
      </c>
      <c r="H7" s="93" t="s">
        <v>21</v>
      </c>
      <c r="I7" s="93" t="s">
        <v>6</v>
      </c>
      <c r="J7" s="93" t="s">
        <v>7</v>
      </c>
      <c r="K7" s="93" t="s">
        <v>8</v>
      </c>
      <c r="L7" s="91" t="s">
        <v>13</v>
      </c>
      <c r="M7" s="92"/>
      <c r="N7" s="91" t="s">
        <v>16</v>
      </c>
      <c r="O7" s="92"/>
      <c r="P7" s="89"/>
      <c r="Q7" s="19"/>
    </row>
    <row r="8" spans="1:21" s="1" customFormat="1" ht="17.25" customHeight="1">
      <c r="A8" s="97"/>
      <c r="B8" s="97"/>
      <c r="C8" s="94"/>
      <c r="D8" s="90"/>
      <c r="E8" s="94"/>
      <c r="F8" s="94"/>
      <c r="G8" s="94"/>
      <c r="H8" s="94"/>
      <c r="I8" s="94"/>
      <c r="J8" s="94"/>
      <c r="K8" s="94"/>
      <c r="L8" s="11" t="s">
        <v>14</v>
      </c>
      <c r="M8" s="11" t="s">
        <v>15</v>
      </c>
      <c r="N8" s="11" t="s">
        <v>14</v>
      </c>
      <c r="O8" s="11" t="s">
        <v>15</v>
      </c>
      <c r="P8" s="90"/>
      <c r="Q8" s="19"/>
    </row>
    <row r="9" spans="1:21" s="16" customFormat="1">
      <c r="A9" s="35">
        <v>1</v>
      </c>
      <c r="B9" s="35">
        <v>2</v>
      </c>
      <c r="C9" s="36"/>
      <c r="D9" s="37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T9" s="80" t="s">
        <v>26</v>
      </c>
      <c r="U9" s="80"/>
    </row>
    <row r="10" spans="1:21" s="38" customFormat="1" ht="30.75" customHeight="1">
      <c r="A10" s="5" t="s">
        <v>60</v>
      </c>
      <c r="B10" s="110" t="s">
        <v>28</v>
      </c>
      <c r="C10" s="111">
        <f>C11+C14</f>
        <v>171866825000</v>
      </c>
      <c r="D10" s="112">
        <f>C10/$C$95*100</f>
        <v>100</v>
      </c>
      <c r="E10" s="112">
        <f>(54205000+53258574700)/$C$10*100</f>
        <v>31.019819968164303</v>
      </c>
      <c r="F10" s="112">
        <f>(54205000+41205000+53258574700+46137281883)/$C$10*100</f>
        <v>57.888581221535915</v>
      </c>
      <c r="G10" s="112">
        <f>(54205000+41205000+41205000+53258574700+46137281883+52270204734)/$C$10*100</f>
        <v>88.325758224136621</v>
      </c>
      <c r="H10" s="112">
        <f>(54205000+41205000+41205000+28354500+1855500+53258574700+46137281883+52270204734+20033938683)/$C$10*100</f>
        <v>100</v>
      </c>
      <c r="I10" s="113">
        <f>SUM(I11+I14)</f>
        <v>107301734810</v>
      </c>
      <c r="J10" s="113">
        <f t="shared" ref="J10:K10" si="0">SUM(J11+J14)</f>
        <v>12689885454</v>
      </c>
      <c r="K10" s="113">
        <f t="shared" si="0"/>
        <v>119991620264</v>
      </c>
      <c r="L10" s="147">
        <f>K10/C10*100</f>
        <v>69.81662706808018</v>
      </c>
      <c r="M10" s="147">
        <f>U10</f>
        <v>78.567490177554632</v>
      </c>
      <c r="N10" s="147">
        <f>L10*D10/100</f>
        <v>69.81662706808018</v>
      </c>
      <c r="O10" s="147">
        <f>M10*D10/100</f>
        <v>78.567490177554632</v>
      </c>
      <c r="P10" s="3"/>
      <c r="Q10" s="2"/>
      <c r="R10" s="78" t="s">
        <v>24</v>
      </c>
      <c r="S10" s="78"/>
      <c r="U10" s="39">
        <f>SUM(U11+U14)</f>
        <v>78.567490177554632</v>
      </c>
    </row>
    <row r="11" spans="1:21" ht="33" customHeight="1">
      <c r="A11" s="6" t="s">
        <v>61</v>
      </c>
      <c r="B11" s="114" t="s">
        <v>29</v>
      </c>
      <c r="C11" s="115">
        <f>SUM(C12:C12)</f>
        <v>166825000</v>
      </c>
      <c r="D11" s="116">
        <f>C11/$C$95*100</f>
        <v>9.706643501443632E-2</v>
      </c>
      <c r="E11" s="116">
        <f>(54205000)/$C$11*100</f>
        <v>32.492132474149557</v>
      </c>
      <c r="F11" s="116">
        <f>(54205000+41205000)/$C$11*100</f>
        <v>57.191667915480295</v>
      </c>
      <c r="G11" s="116">
        <f>(54205000+41205000+41205000)/$C$11*100</f>
        <v>81.891203356811033</v>
      </c>
      <c r="H11" s="116">
        <f>(54205000+41205000+41205000+28354500+1855500)/$C$11*100</f>
        <v>100</v>
      </c>
      <c r="I11" s="117">
        <f>SUM(I12:I12)</f>
        <v>46171680</v>
      </c>
      <c r="J11" s="117">
        <f>SUM(J12:J12)</f>
        <v>0</v>
      </c>
      <c r="K11" s="117">
        <f>I11+J11</f>
        <v>46171680</v>
      </c>
      <c r="L11" s="148">
        <f>K11/C11*100</f>
        <v>27.676715120635397</v>
      </c>
      <c r="M11" s="148">
        <f>M12</f>
        <v>75</v>
      </c>
      <c r="N11" s="148">
        <f>L11*D11/100</f>
        <v>2.6864800696702228E-2</v>
      </c>
      <c r="O11" s="148">
        <f>M11*D11/100</f>
        <v>7.2799826260827233E-2</v>
      </c>
      <c r="P11" s="14" t="s">
        <v>101</v>
      </c>
      <c r="Q11" s="20">
        <f>54205000+41205000+41205000+28354500</f>
        <v>164969500</v>
      </c>
      <c r="R11" s="38"/>
      <c r="S11" s="40"/>
      <c r="T11" s="41"/>
      <c r="U11" s="41">
        <f>SUM(U12)</f>
        <v>7.2799826260827233E-2</v>
      </c>
    </row>
    <row r="12" spans="1:21" ht="21" customHeight="1">
      <c r="A12" s="42" t="s">
        <v>62</v>
      </c>
      <c r="B12" s="55" t="s">
        <v>30</v>
      </c>
      <c r="C12" s="118">
        <v>166825000</v>
      </c>
      <c r="D12" s="32">
        <f>C12/$C$11*100</f>
        <v>100</v>
      </c>
      <c r="E12" s="143">
        <f>(54205000)/$C$12*100</f>
        <v>32.492132474149557</v>
      </c>
      <c r="F12" s="143">
        <f>(54205000+41205000)/$C$12*100</f>
        <v>57.191667915480295</v>
      </c>
      <c r="G12" s="143">
        <f>(54205000+41205000+41205000)/$C$12*100</f>
        <v>81.891203356811033</v>
      </c>
      <c r="H12" s="143">
        <f>(54205000+41205000+41205000+28354500+1855500)/$C$12*100</f>
        <v>100</v>
      </c>
      <c r="I12" s="57">
        <v>46171680</v>
      </c>
      <c r="J12" s="119">
        <v>0</v>
      </c>
      <c r="K12" s="57">
        <f>I12+J12</f>
        <v>46171680</v>
      </c>
      <c r="L12" s="132">
        <f>K12/C12*100</f>
        <v>27.676715120635397</v>
      </c>
      <c r="M12" s="120">
        <v>75</v>
      </c>
      <c r="N12" s="149">
        <f>L12*D12/100</f>
        <v>27.676715120635393</v>
      </c>
      <c r="O12" s="149">
        <f>M12*D12/100</f>
        <v>75</v>
      </c>
      <c r="P12" s="44" t="s">
        <v>101</v>
      </c>
      <c r="Q12" s="45">
        <f>C11-Q11</f>
        <v>1855500</v>
      </c>
      <c r="R12" s="38">
        <f>C12/$C$11*100</f>
        <v>100</v>
      </c>
      <c r="S12" s="41">
        <f>M12*R12/100</f>
        <v>75</v>
      </c>
      <c r="T12" s="41">
        <f>C12/$C$10*100</f>
        <v>9.706643501443632E-2</v>
      </c>
      <c r="U12" s="38">
        <f>M12*T12/100</f>
        <v>7.2799826260827233E-2</v>
      </c>
    </row>
    <row r="13" spans="1:21" ht="12.75" customHeight="1">
      <c r="A13" s="9"/>
      <c r="B13" s="55"/>
      <c r="C13" s="31"/>
      <c r="D13" s="32"/>
      <c r="E13" s="143"/>
      <c r="F13" s="143"/>
      <c r="G13" s="143"/>
      <c r="H13" s="143"/>
      <c r="I13" s="109"/>
      <c r="J13" s="57"/>
      <c r="K13" s="57"/>
      <c r="L13" s="143"/>
      <c r="M13" s="143"/>
      <c r="N13" s="143"/>
      <c r="O13" s="143"/>
      <c r="P13" s="43"/>
      <c r="Q13" s="38"/>
      <c r="R13" s="38"/>
      <c r="S13" s="38"/>
    </row>
    <row r="14" spans="1:21" ht="22.5" customHeight="1">
      <c r="A14" s="6" t="s">
        <v>63</v>
      </c>
      <c r="B14" s="121" t="s">
        <v>31</v>
      </c>
      <c r="C14" s="115">
        <f>SUM(C15)</f>
        <v>171700000000</v>
      </c>
      <c r="D14" s="116">
        <f>C14/$C$95*100</f>
        <v>99.90293356498556</v>
      </c>
      <c r="E14" s="116">
        <f>SUM(E15)</f>
        <v>31.018389458357596</v>
      </c>
      <c r="F14" s="116">
        <f t="shared" ref="F14:H14" si="1">SUM(F15)</f>
        <v>57.889258347699482</v>
      </c>
      <c r="G14" s="116">
        <f t="shared" si="1"/>
        <v>88.332010085614442</v>
      </c>
      <c r="H14" s="116">
        <f t="shared" si="1"/>
        <v>100</v>
      </c>
      <c r="I14" s="117">
        <f>I15</f>
        <v>107255563130</v>
      </c>
      <c r="J14" s="117">
        <f t="shared" ref="J14:K14" si="2">J15</f>
        <v>12689885454</v>
      </c>
      <c r="K14" s="117">
        <f t="shared" si="2"/>
        <v>119945448584</v>
      </c>
      <c r="L14" s="116">
        <f>K14/C14*100</f>
        <v>69.857570520675594</v>
      </c>
      <c r="M14" s="116">
        <f>U14</f>
        <v>78.494690351293798</v>
      </c>
      <c r="N14" s="116">
        <f>L14*D14/100</f>
        <v>69.78976226738348</v>
      </c>
      <c r="O14" s="116">
        <f>M14*D14/100</f>
        <v>78.418498353694176</v>
      </c>
      <c r="P14" s="14" t="s">
        <v>100</v>
      </c>
      <c r="Q14" s="2"/>
      <c r="R14" s="38"/>
      <c r="S14" s="38"/>
      <c r="U14" s="46">
        <f>SUM(U15)</f>
        <v>78.494690351293798</v>
      </c>
    </row>
    <row r="15" spans="1:21" ht="19.5" customHeight="1">
      <c r="A15" s="7" t="s">
        <v>64</v>
      </c>
      <c r="B15" s="122" t="s">
        <v>32</v>
      </c>
      <c r="C15" s="123">
        <f>SUM(C16+C20+C24+C49+C58+C69)</f>
        <v>171700000000</v>
      </c>
      <c r="D15" s="124">
        <f>C15/$C$95*100</f>
        <v>99.90293356498556</v>
      </c>
      <c r="E15" s="124">
        <f>(53258574700)/$C$15*100</f>
        <v>31.018389458357596</v>
      </c>
      <c r="F15" s="124">
        <f>(53258574700+46137281883)/$C$15*100</f>
        <v>57.889258347699482</v>
      </c>
      <c r="G15" s="124">
        <f>(53258574700+46137281883+52270204734)/$C$15*100</f>
        <v>88.332010085614442</v>
      </c>
      <c r="H15" s="124">
        <f>(53258574700+46137281883+52270204734+20033938683)/$C$15*100</f>
        <v>100</v>
      </c>
      <c r="I15" s="125">
        <f>SUM(I16+I20+I24+I49+I58+I69)</f>
        <v>107255563130</v>
      </c>
      <c r="J15" s="125">
        <f>SUM(J16+J20+J24+J49+J58+J69)</f>
        <v>12689885454</v>
      </c>
      <c r="K15" s="125">
        <f>SUM(K16+K20+K24+K49+K58+K69)</f>
        <v>119945448584</v>
      </c>
      <c r="L15" s="124">
        <f>K15/C15*100</f>
        <v>69.857570520675594</v>
      </c>
      <c r="M15" s="124">
        <f>U15</f>
        <v>78.494690351293798</v>
      </c>
      <c r="N15" s="124">
        <f>L15*D15/100</f>
        <v>69.78976226738348</v>
      </c>
      <c r="O15" s="124">
        <f>M15*D15/100</f>
        <v>78.418498353694176</v>
      </c>
      <c r="P15" s="12" t="s">
        <v>100</v>
      </c>
      <c r="Q15" s="20"/>
      <c r="R15" s="38"/>
      <c r="S15" s="38"/>
      <c r="U15" s="47">
        <f>SUM(U16+U20+U24+U49+U58+U69)</f>
        <v>78.494690351293798</v>
      </c>
    </row>
    <row r="16" spans="1:21" ht="18" customHeight="1">
      <c r="A16" s="8"/>
      <c r="B16" s="10" t="s">
        <v>33</v>
      </c>
      <c r="C16" s="56">
        <f>SUM(C17:C18)</f>
        <v>430000000</v>
      </c>
      <c r="D16" s="126">
        <f>C16/$C$15*100</f>
        <v>0.25043680838672105</v>
      </c>
      <c r="E16" s="126">
        <f>(5000000)/C16*100</f>
        <v>1.1627906976744187</v>
      </c>
      <c r="F16" s="126">
        <f>(0+5000000)/C16*100</f>
        <v>1.1627906976744187</v>
      </c>
      <c r="G16" s="126">
        <f>(0+5000000+425000000)/C16*100</f>
        <v>100</v>
      </c>
      <c r="H16" s="126">
        <f>(0+5000000+425000000+0)/C16*100</f>
        <v>100</v>
      </c>
      <c r="I16" s="127">
        <f>SUM(I17:I18)</f>
        <v>453717</v>
      </c>
      <c r="J16" s="127">
        <f>SUM(J17:J18)</f>
        <v>57862900</v>
      </c>
      <c r="K16" s="127">
        <f>I16+J16</f>
        <v>58316617</v>
      </c>
      <c r="L16" s="126">
        <f>K16/C16*100</f>
        <v>13.562003953488372</v>
      </c>
      <c r="M16" s="126">
        <f>S16</f>
        <v>73.95348837209302</v>
      </c>
      <c r="N16" s="126">
        <f>L16*D16/100</f>
        <v>3.3964249854397208E-2</v>
      </c>
      <c r="O16" s="126">
        <f>M16*D16/100</f>
        <v>0.18520675596971461</v>
      </c>
      <c r="P16" s="13" t="s">
        <v>100</v>
      </c>
      <c r="Q16" s="20"/>
      <c r="R16" s="38"/>
      <c r="S16" s="48">
        <f>SUM(S17:S18)</f>
        <v>73.95348837209302</v>
      </c>
      <c r="T16">
        <f>C16/$C$10*100</f>
        <v>0.25019371830485609</v>
      </c>
      <c r="U16">
        <f>M16*T16/100</f>
        <v>0.18502698237428891</v>
      </c>
    </row>
    <row r="17" spans="1:21" s="38" customFormat="1" ht="18" customHeight="1">
      <c r="A17" s="49" t="s">
        <v>65</v>
      </c>
      <c r="B17" s="104" t="s">
        <v>34</v>
      </c>
      <c r="C17" s="99">
        <v>400000000</v>
      </c>
      <c r="D17" s="32">
        <f>C17/$C$16*100</f>
        <v>93.023255813953483</v>
      </c>
      <c r="E17" s="32">
        <f>(0)/$C$17*100</f>
        <v>0</v>
      </c>
      <c r="F17" s="32">
        <f>(0+0)/$C$17*100</f>
        <v>0</v>
      </c>
      <c r="G17" s="32">
        <f>(0+0+400000000)/$C$17*100</f>
        <v>100</v>
      </c>
      <c r="H17" s="32">
        <f>(0+0+400000000+0)/$C$17*100</f>
        <v>100</v>
      </c>
      <c r="I17" s="57">
        <v>453717</v>
      </c>
      <c r="J17" s="57">
        <v>57862900</v>
      </c>
      <c r="K17" s="57">
        <f t="shared" ref="K17:K18" si="3">I17+J17</f>
        <v>58316617</v>
      </c>
      <c r="L17" s="32">
        <f t="shared" ref="L17" si="4">K17/C17*100</f>
        <v>14.57915425</v>
      </c>
      <c r="M17" s="32">
        <v>75</v>
      </c>
      <c r="N17" s="32">
        <f>L17*D17/100</f>
        <v>13.562003953488372</v>
      </c>
      <c r="O17" s="32">
        <f>M17*D17/100</f>
        <v>69.767441860465112</v>
      </c>
      <c r="P17" s="50"/>
      <c r="R17" s="38">
        <f>C17/$C$16*100</f>
        <v>93.023255813953483</v>
      </c>
      <c r="S17" s="38">
        <f>M17*R17/100</f>
        <v>69.767441860465112</v>
      </c>
    </row>
    <row r="18" spans="1:21" ht="15" customHeight="1">
      <c r="A18" s="49" t="s">
        <v>66</v>
      </c>
      <c r="B18" s="104" t="s">
        <v>35</v>
      </c>
      <c r="C18" s="99">
        <v>30000000</v>
      </c>
      <c r="D18" s="32">
        <f>C18/$C$16*100</f>
        <v>6.9767441860465116</v>
      </c>
      <c r="E18" s="32">
        <f>(5000000)/$C$18*100</f>
        <v>16.666666666666664</v>
      </c>
      <c r="F18" s="32">
        <f>(5000000+0)/$C$18*100</f>
        <v>16.666666666666664</v>
      </c>
      <c r="G18" s="32">
        <f>(5000000+0+25000000)/$C$18*100</f>
        <v>100</v>
      </c>
      <c r="H18" s="32">
        <f>(5000000+0+25000000+0)/$C$18*100</f>
        <v>100</v>
      </c>
      <c r="I18" s="109">
        <v>0</v>
      </c>
      <c r="J18" s="57">
        <v>0</v>
      </c>
      <c r="K18" s="57">
        <f t="shared" si="3"/>
        <v>0</v>
      </c>
      <c r="L18" s="32">
        <v>0</v>
      </c>
      <c r="M18" s="32">
        <v>60</v>
      </c>
      <c r="N18" s="32">
        <f t="shared" ref="N18" si="5">L18*D18/100</f>
        <v>0</v>
      </c>
      <c r="O18" s="32">
        <f t="shared" ref="O18" si="6">M18*D18/100</f>
        <v>4.1860465116279064</v>
      </c>
      <c r="P18" s="50"/>
      <c r="Q18" s="38"/>
      <c r="R18" s="38">
        <f>C18/$C$16*100</f>
        <v>6.9767441860465116</v>
      </c>
      <c r="S18" s="38">
        <f>M18*R18/100</f>
        <v>4.1860465116279064</v>
      </c>
    </row>
    <row r="19" spans="1:21">
      <c r="A19" s="51"/>
      <c r="B19" s="128"/>
      <c r="C19" s="129"/>
      <c r="D19" s="32"/>
      <c r="E19" s="32"/>
      <c r="F19" s="32"/>
      <c r="G19" s="32"/>
      <c r="H19" s="32"/>
      <c r="I19" s="109"/>
      <c r="J19" s="57"/>
      <c r="K19" s="57"/>
      <c r="L19" s="32"/>
      <c r="M19" s="32"/>
      <c r="N19" s="32"/>
      <c r="O19" s="32"/>
      <c r="P19" s="50"/>
      <c r="Q19" s="38"/>
      <c r="R19" s="38"/>
      <c r="S19" s="38"/>
    </row>
    <row r="20" spans="1:21" ht="18" customHeight="1">
      <c r="A20" s="8"/>
      <c r="B20" s="10" t="s">
        <v>57</v>
      </c>
      <c r="C20" s="56">
        <f>SUM(C21:C22)</f>
        <v>5600000000</v>
      </c>
      <c r="D20" s="126">
        <f>C20/$C$15*100</f>
        <v>3.2615026208503206</v>
      </c>
      <c r="E20" s="126">
        <f>(1440685000)/$C$20*100</f>
        <v>25.726517857142856</v>
      </c>
      <c r="F20" s="126">
        <f>(1440685000+1234677000)/$C$20*100</f>
        <v>47.774321428571433</v>
      </c>
      <c r="G20" s="126">
        <f>(1440685000+1234677000+1919836000)/$C$20*100</f>
        <v>82.057107142857149</v>
      </c>
      <c r="H20" s="126">
        <f>(1440685000+1234677000+1919836000+1004802000)/$C$20*100</f>
        <v>100</v>
      </c>
      <c r="I20" s="127">
        <f>SUM(I21:I22)</f>
        <v>2744131018</v>
      </c>
      <c r="J20" s="127">
        <f t="shared" ref="J20:K20" si="7">SUM(J21:J22)</f>
        <v>503488422</v>
      </c>
      <c r="K20" s="127">
        <f t="shared" si="7"/>
        <v>3247619440</v>
      </c>
      <c r="L20" s="126">
        <f>K20/C20*100</f>
        <v>57.993204285714285</v>
      </c>
      <c r="M20" s="126">
        <f>S20</f>
        <v>72.660482142857148</v>
      </c>
      <c r="N20" s="126">
        <f>L20*D20/100</f>
        <v>1.8914498776936517</v>
      </c>
      <c r="O20" s="126">
        <f>M20*D20/100</f>
        <v>2.3698235294117653</v>
      </c>
      <c r="P20" s="13" t="s">
        <v>100</v>
      </c>
      <c r="Q20" s="20"/>
      <c r="R20" s="38"/>
      <c r="S20" s="48">
        <f>SUM(S21:S22)</f>
        <v>72.660482142857148</v>
      </c>
      <c r="T20">
        <f>C20/$C$10*100</f>
        <v>3.2583367965283583</v>
      </c>
      <c r="U20">
        <f>M20*T20/100</f>
        <v>2.3675232261956314</v>
      </c>
    </row>
    <row r="21" spans="1:21" ht="18" customHeight="1">
      <c r="A21" s="49" t="s">
        <v>67</v>
      </c>
      <c r="B21" s="26" t="s">
        <v>58</v>
      </c>
      <c r="C21" s="99">
        <v>2886000000</v>
      </c>
      <c r="D21" s="32">
        <f>C21/$C$20*100</f>
        <v>51.535714285714285</v>
      </c>
      <c r="E21" s="32">
        <f>(641426000)/$C$21*100</f>
        <v>22.225433125433124</v>
      </c>
      <c r="F21" s="32">
        <f>(641426000+651426000)/$C$21*100</f>
        <v>44.797366597366597</v>
      </c>
      <c r="G21" s="32">
        <f>(641426000+651426000+1175036000)/$C$21*100</f>
        <v>85.512404712404717</v>
      </c>
      <c r="H21" s="32">
        <f>(641426000+651426000+1175036000+418112000)/$C$21*100</f>
        <v>100</v>
      </c>
      <c r="I21" s="57">
        <f>341993900+1184618400</f>
        <v>1526612300</v>
      </c>
      <c r="J21" s="57">
        <f>61442850+259173450</f>
        <v>320616300</v>
      </c>
      <c r="K21" s="57">
        <f t="shared" ref="K21:K22" si="8">I21+J21</f>
        <v>1847228600</v>
      </c>
      <c r="L21" s="32">
        <f t="shared" ref="L21:L22" si="9">K21/C21*100</f>
        <v>64.006534996534995</v>
      </c>
      <c r="M21" s="32">
        <v>70.94</v>
      </c>
      <c r="N21" s="32">
        <f>L21*D21/100</f>
        <v>32.986224999999997</v>
      </c>
      <c r="O21" s="32">
        <f>M21*D21/100</f>
        <v>36.559435714285712</v>
      </c>
      <c r="P21" s="50"/>
      <c r="Q21" s="38"/>
      <c r="R21" s="38">
        <f>C21/$C$20*100</f>
        <v>51.535714285714285</v>
      </c>
      <c r="S21" s="38">
        <f>M21*R21/100</f>
        <v>36.559435714285712</v>
      </c>
    </row>
    <row r="22" spans="1:21" ht="20.25" customHeight="1">
      <c r="A22" s="49" t="s">
        <v>68</v>
      </c>
      <c r="B22" s="104" t="s">
        <v>59</v>
      </c>
      <c r="C22" s="99">
        <v>2714000000</v>
      </c>
      <c r="D22" s="32">
        <f>C22/$C$20*100</f>
        <v>48.464285714285715</v>
      </c>
      <c r="E22" s="32">
        <f>(799259000)/$C$22*100</f>
        <v>29.449484156226973</v>
      </c>
      <c r="F22" s="32">
        <f>(799259000+583251000)/$C$22*100</f>
        <v>50.939941046425943</v>
      </c>
      <c r="G22" s="32">
        <f>(799259000+583251000+744800000)/$C$22*100</f>
        <v>78.382829771554896</v>
      </c>
      <c r="H22" s="32">
        <f>(799259000+583251000+744800000+586690000)/$C$22*100</f>
        <v>100</v>
      </c>
      <c r="I22" s="57">
        <f>1214578718+2940000</f>
        <v>1217518718</v>
      </c>
      <c r="J22" s="57">
        <v>182872122</v>
      </c>
      <c r="K22" s="57">
        <f t="shared" si="8"/>
        <v>1400390840</v>
      </c>
      <c r="L22" s="32">
        <f t="shared" si="9"/>
        <v>51.598778187177594</v>
      </c>
      <c r="M22" s="32">
        <v>74.489999999999995</v>
      </c>
      <c r="N22" s="32">
        <f t="shared" ref="N22" si="10">L22*D22/100</f>
        <v>25.006979285714284</v>
      </c>
      <c r="O22" s="32">
        <f t="shared" ref="O22" si="11">M22*D22/100</f>
        <v>36.101046428571429</v>
      </c>
      <c r="P22" s="50"/>
      <c r="Q22" s="38"/>
      <c r="R22" s="38">
        <f>C22/$C$20*100</f>
        <v>48.464285714285715</v>
      </c>
      <c r="S22" s="38">
        <f>M22*R22/100</f>
        <v>36.101046428571429</v>
      </c>
    </row>
    <row r="23" spans="1:21" ht="12" customHeight="1">
      <c r="A23" s="51"/>
      <c r="B23" s="128"/>
      <c r="C23" s="30"/>
      <c r="D23" s="32"/>
      <c r="E23" s="32"/>
      <c r="F23" s="32"/>
      <c r="G23" s="32"/>
      <c r="H23" s="32"/>
      <c r="I23" s="130"/>
      <c r="J23" s="106"/>
      <c r="K23" s="106"/>
      <c r="L23" s="30"/>
      <c r="M23" s="30"/>
      <c r="N23" s="30"/>
      <c r="O23" s="30"/>
      <c r="P23" s="50"/>
      <c r="Q23" s="38"/>
      <c r="R23" s="38"/>
      <c r="S23" s="38"/>
    </row>
    <row r="24" spans="1:21" ht="18" customHeight="1">
      <c r="A24" s="8"/>
      <c r="B24" s="10" t="s">
        <v>36</v>
      </c>
      <c r="C24" s="56">
        <f>SUM(C25:C47)</f>
        <v>40670000000</v>
      </c>
      <c r="D24" s="126">
        <f>C24/$C$15*100</f>
        <v>23.686662783925453</v>
      </c>
      <c r="E24" s="126">
        <f>(11524114000)/C24*100</f>
        <v>28.335662650602412</v>
      </c>
      <c r="F24" s="126">
        <f>(11524114000+15127679500)/C24*100</f>
        <v>65.531825670027047</v>
      </c>
      <c r="G24" s="126">
        <f>(11524114000+15127679500+11119776500)/C24*100</f>
        <v>92.873297270715511</v>
      </c>
      <c r="H24" s="126">
        <f>(11524114000+15127679500+11119776500+2898430000)/C24*100</f>
        <v>100</v>
      </c>
      <c r="I24" s="127">
        <f>SUM(I25:I47)</f>
        <v>26486167869</v>
      </c>
      <c r="J24" s="127">
        <f>SUM(J25:J47)</f>
        <v>3698081775</v>
      </c>
      <c r="K24" s="127">
        <f>SUM(K25:K47)</f>
        <v>30184249644</v>
      </c>
      <c r="L24" s="131">
        <f>K24/C24*100</f>
        <v>74.217481298254242</v>
      </c>
      <c r="M24" s="131">
        <f>S24</f>
        <v>82.585309944307838</v>
      </c>
      <c r="N24" s="131">
        <f>L24*D24/100</f>
        <v>17.579644521840422</v>
      </c>
      <c r="O24" s="131">
        <f>M24*D24/100</f>
        <v>19.561703875567851</v>
      </c>
      <c r="P24" s="13" t="s">
        <v>100</v>
      </c>
      <c r="Q24" s="20"/>
      <c r="R24" s="38"/>
      <c r="S24" s="48">
        <f>SUM(S25:S47)</f>
        <v>82.585309944307838</v>
      </c>
      <c r="T24">
        <f>C24/$C$10*100</f>
        <v>23.663670984787203</v>
      </c>
      <c r="U24">
        <f>M24*T24/100</f>
        <v>19.542716026987755</v>
      </c>
    </row>
    <row r="25" spans="1:21" ht="18.75" customHeight="1">
      <c r="A25" s="49" t="s">
        <v>106</v>
      </c>
      <c r="B25" s="104" t="s">
        <v>107</v>
      </c>
      <c r="C25" s="23">
        <v>9500000000</v>
      </c>
      <c r="D25" s="32">
        <f>C25/$C$24*100</f>
        <v>23.358741086796165</v>
      </c>
      <c r="E25" s="32">
        <f>(4000000000)/$C$25*100</f>
        <v>42.105263157894733</v>
      </c>
      <c r="F25" s="32">
        <f>(4000000000+4000000000)/$C$25*100</f>
        <v>84.210526315789465</v>
      </c>
      <c r="G25" s="32">
        <f>(4000000000+4000000000+1480080000)/$C$25*100</f>
        <v>99.790315789473681</v>
      </c>
      <c r="H25" s="32">
        <f>(4000000000+4000000000+1480080000+19920000)/$C$25*100</f>
        <v>100</v>
      </c>
      <c r="I25" s="57">
        <f>7104450011+1047063411</f>
        <v>8151513422</v>
      </c>
      <c r="J25" s="105">
        <f>932734910+281906020</f>
        <v>1214640930</v>
      </c>
      <c r="K25" s="57">
        <f t="shared" ref="K25:K47" si="12">I25+J25</f>
        <v>9366154352</v>
      </c>
      <c r="L25" s="32">
        <f t="shared" ref="L25:L47" si="13">K25/C25*100</f>
        <v>98.591098442105263</v>
      </c>
      <c r="M25" s="74">
        <v>100</v>
      </c>
      <c r="N25" s="32">
        <f>L25*D25/100</f>
        <v>23.029639419719697</v>
      </c>
      <c r="O25" s="32">
        <f t="shared" ref="O25:O47" si="14">M25*D25/100</f>
        <v>23.358741086796169</v>
      </c>
      <c r="P25" s="50"/>
      <c r="Q25" s="38"/>
      <c r="R25" s="38">
        <f t="shared" ref="R25:R35" si="15">C25/$C$24*100</f>
        <v>23.358741086796165</v>
      </c>
      <c r="S25" s="38">
        <f>M25*R25/100</f>
        <v>23.358741086796169</v>
      </c>
    </row>
    <row r="26" spans="1:21" ht="18.75" customHeight="1">
      <c r="A26" s="49" t="s">
        <v>108</v>
      </c>
      <c r="B26" s="100" t="s">
        <v>109</v>
      </c>
      <c r="C26" s="99">
        <v>6600000000</v>
      </c>
      <c r="D26" s="32">
        <f t="shared" ref="D26:D47" si="16">C26/$C$24*100</f>
        <v>16.22817801819523</v>
      </c>
      <c r="E26" s="32">
        <f>(2000000000)/$C$26*100</f>
        <v>30.303030303030305</v>
      </c>
      <c r="F26" s="32">
        <f>(2000000000+2500000000)/$C$26*100</f>
        <v>68.181818181818173</v>
      </c>
      <c r="G26" s="32">
        <f>(2000000000+2500000000+2090700000)/$C$26*100</f>
        <v>99.859090909090909</v>
      </c>
      <c r="H26" s="32">
        <f>(2000000000+2500000000+2090700000+9300000)/$C$26*100</f>
        <v>100</v>
      </c>
      <c r="I26" s="57">
        <f>3906081329+889186637</f>
        <v>4795267966</v>
      </c>
      <c r="J26" s="101">
        <f>374424421+146927784</f>
        <v>521352205</v>
      </c>
      <c r="K26" s="57">
        <f t="shared" si="12"/>
        <v>5316620171</v>
      </c>
      <c r="L26" s="32">
        <f t="shared" si="13"/>
        <v>80.554851075757568</v>
      </c>
      <c r="M26" s="74">
        <v>88</v>
      </c>
      <c r="N26" s="32">
        <f t="shared" ref="N26:N47" si="17">L26*D26/100</f>
        <v>13.072584634865994</v>
      </c>
      <c r="O26" s="32">
        <f t="shared" si="14"/>
        <v>14.280796656011804</v>
      </c>
      <c r="P26" s="50"/>
      <c r="Q26" s="38"/>
      <c r="R26" s="38">
        <f t="shared" si="15"/>
        <v>16.22817801819523</v>
      </c>
      <c r="S26" s="38">
        <f t="shared" ref="S26" si="18">M26*R26/100</f>
        <v>14.280796656011804</v>
      </c>
    </row>
    <row r="27" spans="1:21" ht="18.75" customHeight="1">
      <c r="A27" s="49" t="s">
        <v>110</v>
      </c>
      <c r="B27" s="100" t="s">
        <v>111</v>
      </c>
      <c r="C27" s="99">
        <v>500000000</v>
      </c>
      <c r="D27" s="32">
        <f t="shared" si="16"/>
        <v>1.2294074256208507</v>
      </c>
      <c r="E27" s="32">
        <f>(100000000)/$C$27*100</f>
        <v>20</v>
      </c>
      <c r="F27" s="32">
        <f>(100000000+125000000)/$C$27*100</f>
        <v>45</v>
      </c>
      <c r="G27" s="32">
        <f>(100000000+125000000+268103000)/$C$27*100</f>
        <v>98.620599999999996</v>
      </c>
      <c r="H27" s="32">
        <f>(100000000+125000000+268103000+6897000)/$C$27*100</f>
        <v>100</v>
      </c>
      <c r="I27" s="57">
        <v>132202650</v>
      </c>
      <c r="J27" s="106">
        <v>0</v>
      </c>
      <c r="K27" s="57">
        <f t="shared" si="12"/>
        <v>132202650</v>
      </c>
      <c r="L27" s="32">
        <f t="shared" si="13"/>
        <v>26.440530000000003</v>
      </c>
      <c r="M27" s="74">
        <v>50</v>
      </c>
      <c r="N27" s="32">
        <f t="shared" si="17"/>
        <v>0.32506183919350873</v>
      </c>
      <c r="O27" s="32">
        <f t="shared" si="14"/>
        <v>0.61470371281042535</v>
      </c>
      <c r="P27" s="50"/>
      <c r="Q27" s="52"/>
      <c r="R27" s="38">
        <f t="shared" si="15"/>
        <v>1.2294074256208507</v>
      </c>
      <c r="S27" s="38">
        <f>M27*R27/100</f>
        <v>0.61470371281042535</v>
      </c>
    </row>
    <row r="28" spans="1:21" ht="18.75" customHeight="1">
      <c r="A28" s="49" t="s">
        <v>112</v>
      </c>
      <c r="B28" s="107" t="s">
        <v>113</v>
      </c>
      <c r="C28" s="99">
        <v>4500000000</v>
      </c>
      <c r="D28" s="32">
        <f t="shared" si="16"/>
        <v>11.064666830587656</v>
      </c>
      <c r="E28" s="32">
        <f>(1500000000)/$C$28*100</f>
        <v>33.333333333333329</v>
      </c>
      <c r="F28" s="32">
        <f>(1500000000+1500000000)/$C$28*100</f>
        <v>66.666666666666657</v>
      </c>
      <c r="G28" s="32">
        <f>(1500000000+1500000000+1480677000)/$C$28*100</f>
        <v>99.570599999999999</v>
      </c>
      <c r="H28" s="32">
        <f>(1500000000+1500000000+1480677000+19323000)/$C$28*100</f>
        <v>100</v>
      </c>
      <c r="I28" s="57">
        <f>2717976296+426214962</f>
        <v>3144191258</v>
      </c>
      <c r="J28" s="105">
        <v>52860000</v>
      </c>
      <c r="K28" s="57">
        <f t="shared" si="12"/>
        <v>3197051258</v>
      </c>
      <c r="L28" s="32">
        <f t="shared" si="13"/>
        <v>71.045583511111104</v>
      </c>
      <c r="M28" s="74">
        <v>82.67</v>
      </c>
      <c r="N28" s="32">
        <f t="shared" si="17"/>
        <v>7.8609571133513638</v>
      </c>
      <c r="O28" s="32">
        <f t="shared" si="14"/>
        <v>9.1471600688468158</v>
      </c>
      <c r="P28" s="50"/>
      <c r="Q28" s="38"/>
      <c r="R28" s="38">
        <f t="shared" si="15"/>
        <v>11.064666830587656</v>
      </c>
      <c r="S28" s="38">
        <f t="shared" ref="S28" si="19">M28*R28/100</f>
        <v>9.1471600688468158</v>
      </c>
    </row>
    <row r="29" spans="1:21" ht="18.75" customHeight="1">
      <c r="A29" s="49" t="s">
        <v>114</v>
      </c>
      <c r="B29" s="24" t="s">
        <v>115</v>
      </c>
      <c r="C29" s="99">
        <v>4000000000</v>
      </c>
      <c r="D29" s="32">
        <f t="shared" si="16"/>
        <v>9.8352594049668056</v>
      </c>
      <c r="E29" s="32">
        <f>(1000000000)/C29*100</f>
        <v>25</v>
      </c>
      <c r="F29" s="32">
        <f>(1000000000+1000000000)/C29*100</f>
        <v>50</v>
      </c>
      <c r="G29" s="32">
        <f>(1000000000+1000000000+1000000000)/C29*100</f>
        <v>75</v>
      </c>
      <c r="H29" s="32">
        <f>(1000000000+1000000000+1000000000+1000000000)/C29*100</f>
        <v>100</v>
      </c>
      <c r="I29" s="57">
        <f>2924213324+2300727</f>
        <v>2926514051</v>
      </c>
      <c r="J29" s="106">
        <v>16446800</v>
      </c>
      <c r="K29" s="57">
        <f t="shared" si="12"/>
        <v>2942960851</v>
      </c>
      <c r="L29" s="32">
        <f t="shared" si="13"/>
        <v>73.574021275000007</v>
      </c>
      <c r="M29" s="74">
        <v>82.67</v>
      </c>
      <c r="N29" s="32">
        <f t="shared" si="17"/>
        <v>7.2361958470617163</v>
      </c>
      <c r="O29" s="32">
        <f t="shared" si="14"/>
        <v>8.1308089500860579</v>
      </c>
      <c r="P29" s="50"/>
      <c r="Q29" s="38"/>
      <c r="R29" s="38">
        <f t="shared" si="15"/>
        <v>9.8352594049668056</v>
      </c>
      <c r="S29" s="38">
        <f>M29*R29/100</f>
        <v>8.1308089500860579</v>
      </c>
    </row>
    <row r="30" spans="1:21" ht="18.75" customHeight="1">
      <c r="A30" s="49" t="s">
        <v>116</v>
      </c>
      <c r="B30" s="24" t="s">
        <v>117</v>
      </c>
      <c r="C30" s="99">
        <v>900000000</v>
      </c>
      <c r="D30" s="32">
        <f t="shared" si="16"/>
        <v>2.2129333661175314</v>
      </c>
      <c r="E30" s="32">
        <f>(405000000)/$C$30*100</f>
        <v>45</v>
      </c>
      <c r="F30" s="32">
        <f>(405000000+135000000)/$C$30*100</f>
        <v>60</v>
      </c>
      <c r="G30" s="32">
        <f>(405000000+135000000+300000000)/$C$30*100</f>
        <v>93.333333333333329</v>
      </c>
      <c r="H30" s="32">
        <f>(405000000+135000000+300000000+60000000)/$C$30*100</f>
        <v>100</v>
      </c>
      <c r="I30" s="57">
        <f>453426920+167785000</f>
        <v>621211920</v>
      </c>
      <c r="J30" s="105">
        <f>27310000+9956000</f>
        <v>37266000</v>
      </c>
      <c r="K30" s="57">
        <f t="shared" si="12"/>
        <v>658477920</v>
      </c>
      <c r="L30" s="32">
        <f t="shared" si="13"/>
        <v>73.164213333333336</v>
      </c>
      <c r="M30" s="74">
        <v>82.67</v>
      </c>
      <c r="N30" s="32">
        <f t="shared" si="17"/>
        <v>1.6190752889107451</v>
      </c>
      <c r="O30" s="32">
        <f t="shared" si="14"/>
        <v>1.8294320137693632</v>
      </c>
      <c r="P30" s="50"/>
      <c r="Q30" s="38"/>
      <c r="R30" s="38">
        <f t="shared" si="15"/>
        <v>2.2129333661175314</v>
      </c>
      <c r="S30" s="38">
        <f t="shared" ref="S30" si="20">M30*R30/100</f>
        <v>1.8294320137693632</v>
      </c>
    </row>
    <row r="31" spans="1:21" ht="18.75" customHeight="1">
      <c r="A31" s="53" t="s">
        <v>118</v>
      </c>
      <c r="B31" s="24" t="s">
        <v>119</v>
      </c>
      <c r="C31" s="99">
        <v>2500000000</v>
      </c>
      <c r="D31" s="32">
        <f t="shared" si="16"/>
        <v>6.1470371281042535</v>
      </c>
      <c r="E31" s="32">
        <f>(600000000)/$C$31*100</f>
        <v>24</v>
      </c>
      <c r="F31" s="32">
        <f>(600000000+500000000)/$C$31*100</f>
        <v>44</v>
      </c>
      <c r="G31" s="32">
        <f>(600000000+500000000+750000000)/$C$31*100</f>
        <v>74</v>
      </c>
      <c r="H31" s="32">
        <f>(600000000+500000000+750000000+650000000)/$C$31*100</f>
        <v>100</v>
      </c>
      <c r="I31" s="57">
        <f>1619795000+2750000</f>
        <v>1622545000</v>
      </c>
      <c r="J31" s="57">
        <v>273259800</v>
      </c>
      <c r="K31" s="57">
        <f t="shared" si="12"/>
        <v>1895804800</v>
      </c>
      <c r="L31" s="32">
        <f t="shared" si="13"/>
        <v>75.832191999999992</v>
      </c>
      <c r="M31" s="74">
        <v>82.67</v>
      </c>
      <c r="N31" s="32">
        <f t="shared" si="17"/>
        <v>4.6614329972953037</v>
      </c>
      <c r="O31" s="32">
        <f t="shared" si="14"/>
        <v>5.0817555938037868</v>
      </c>
      <c r="P31" s="50"/>
      <c r="Q31" s="38"/>
      <c r="R31" s="38">
        <f t="shared" si="15"/>
        <v>6.1470371281042535</v>
      </c>
      <c r="S31" s="38">
        <f>M31*R31/100</f>
        <v>5.0817555938037868</v>
      </c>
    </row>
    <row r="32" spans="1:21" ht="18.75" customHeight="1">
      <c r="A32" s="53" t="s">
        <v>120</v>
      </c>
      <c r="B32" s="24" t="s">
        <v>121</v>
      </c>
      <c r="C32" s="99">
        <v>45000000</v>
      </c>
      <c r="D32" s="32">
        <f t="shared" si="16"/>
        <v>0.11064666830587658</v>
      </c>
      <c r="E32" s="32">
        <f>(42160000)/$C$32*100</f>
        <v>93.688888888888883</v>
      </c>
      <c r="F32" s="32">
        <f>(42160000+2840000)/$C$32*100</f>
        <v>100</v>
      </c>
      <c r="G32" s="32">
        <f>(42160000+2840000)/$C$32*100</f>
        <v>100</v>
      </c>
      <c r="H32" s="32">
        <f>(42160000+2840000)/$C$32*100</f>
        <v>100</v>
      </c>
      <c r="I32" s="57">
        <v>0</v>
      </c>
      <c r="J32" s="57">
        <v>0</v>
      </c>
      <c r="K32" s="57">
        <f t="shared" si="12"/>
        <v>0</v>
      </c>
      <c r="L32" s="32">
        <f t="shared" si="13"/>
        <v>0</v>
      </c>
      <c r="M32" s="74">
        <v>50</v>
      </c>
      <c r="N32" s="32">
        <f t="shared" si="17"/>
        <v>0</v>
      </c>
      <c r="O32" s="32">
        <f t="shared" si="14"/>
        <v>5.5323334152938289E-2</v>
      </c>
      <c r="P32" s="50"/>
      <c r="Q32" s="38"/>
      <c r="R32" s="38">
        <f t="shared" si="15"/>
        <v>0.11064666830587658</v>
      </c>
      <c r="S32" s="38">
        <f t="shared" ref="S32" si="21">M32*R32/100</f>
        <v>5.5323334152938289E-2</v>
      </c>
    </row>
    <row r="33" spans="1:19" ht="17.25" customHeight="1">
      <c r="A33" s="53" t="s">
        <v>122</v>
      </c>
      <c r="B33" s="24" t="s">
        <v>123</v>
      </c>
      <c r="C33" s="108">
        <v>500000000</v>
      </c>
      <c r="D33" s="32">
        <f t="shared" si="16"/>
        <v>1.2294074256208507</v>
      </c>
      <c r="E33" s="32">
        <f>(0)/$C$33*100</f>
        <v>0</v>
      </c>
      <c r="F33" s="32">
        <f>(0+350000000)/$C$33*100</f>
        <v>70</v>
      </c>
      <c r="G33" s="32">
        <f>(0+350000000+141612000)/$C$33*100</f>
        <v>98.322400000000002</v>
      </c>
      <c r="H33" s="32">
        <f>(0+350000000+141612000+8388000)/$C$33*100</f>
        <v>100</v>
      </c>
      <c r="I33" s="57">
        <v>223324700</v>
      </c>
      <c r="J33" s="57">
        <v>243687200</v>
      </c>
      <c r="K33" s="57">
        <f t="shared" si="12"/>
        <v>467011900</v>
      </c>
      <c r="L33" s="32">
        <f t="shared" si="13"/>
        <v>93.402379999999994</v>
      </c>
      <c r="M33" s="74">
        <v>100</v>
      </c>
      <c r="N33" s="32">
        <f t="shared" si="17"/>
        <v>1.1482957954266042</v>
      </c>
      <c r="O33" s="32">
        <f t="shared" si="14"/>
        <v>1.2294074256208507</v>
      </c>
      <c r="P33" s="50"/>
      <c r="Q33" s="38"/>
      <c r="R33" s="38">
        <f t="shared" si="15"/>
        <v>1.2294074256208507</v>
      </c>
      <c r="S33" s="38">
        <f>M33*R33/100</f>
        <v>1.2294074256208507</v>
      </c>
    </row>
    <row r="34" spans="1:19" ht="17.25" customHeight="1">
      <c r="A34" s="42" t="s">
        <v>124</v>
      </c>
      <c r="B34" s="24" t="s">
        <v>125</v>
      </c>
      <c r="C34" s="108">
        <v>3520000</v>
      </c>
      <c r="D34" s="32">
        <f t="shared" si="16"/>
        <v>8.6550282763707895E-3</v>
      </c>
      <c r="E34" s="32">
        <f>(0)/$C$34*100</f>
        <v>0</v>
      </c>
      <c r="F34" s="32">
        <f>(0+3520000)/$C$34*100</f>
        <v>100</v>
      </c>
      <c r="G34" s="32">
        <f>(0+3520000+0)/C34*100</f>
        <v>100</v>
      </c>
      <c r="H34" s="32">
        <f>(0+3520000+0+0)/C34*100</f>
        <v>100</v>
      </c>
      <c r="I34" s="57">
        <v>0</v>
      </c>
      <c r="J34" s="57">
        <v>0</v>
      </c>
      <c r="K34" s="57">
        <f t="shared" si="12"/>
        <v>0</v>
      </c>
      <c r="L34" s="32">
        <f t="shared" si="13"/>
        <v>0</v>
      </c>
      <c r="M34" s="74">
        <v>0</v>
      </c>
      <c r="N34" s="32">
        <f t="shared" si="17"/>
        <v>0</v>
      </c>
      <c r="O34" s="32">
        <f t="shared" si="14"/>
        <v>0</v>
      </c>
      <c r="P34" s="50"/>
      <c r="Q34" s="38"/>
      <c r="R34" s="38">
        <f t="shared" si="15"/>
        <v>8.6550282763707895E-3</v>
      </c>
      <c r="S34" s="38">
        <f t="shared" ref="S34" si="22">M34*R34/100</f>
        <v>0</v>
      </c>
    </row>
    <row r="35" spans="1:19" ht="33.75" customHeight="1">
      <c r="A35" s="53" t="s">
        <v>126</v>
      </c>
      <c r="B35" s="25" t="s">
        <v>127</v>
      </c>
      <c r="C35" s="108">
        <v>500000000</v>
      </c>
      <c r="D35" s="32">
        <f t="shared" si="16"/>
        <v>1.2294074256208507</v>
      </c>
      <c r="E35" s="32">
        <f>(0)/$C$35*100</f>
        <v>0</v>
      </c>
      <c r="F35" s="32">
        <f>(0+125000000)/$C$35*100</f>
        <v>25</v>
      </c>
      <c r="G35" s="32">
        <f>(0+125000000+175000000)/$C$35*100</f>
        <v>60</v>
      </c>
      <c r="H35" s="32">
        <f>(0+125000000+175000000+200000000)/$C$35*100</f>
        <v>100</v>
      </c>
      <c r="I35" s="57">
        <v>144877500</v>
      </c>
      <c r="J35" s="57">
        <v>0</v>
      </c>
      <c r="K35" s="57">
        <f t="shared" si="12"/>
        <v>144877500</v>
      </c>
      <c r="L35" s="32">
        <f t="shared" si="13"/>
        <v>28.975499999999997</v>
      </c>
      <c r="M35" s="74">
        <v>45</v>
      </c>
      <c r="N35" s="32">
        <f t="shared" si="17"/>
        <v>0.35622694861076959</v>
      </c>
      <c r="O35" s="32">
        <f t="shared" si="14"/>
        <v>0.55323334152938275</v>
      </c>
      <c r="P35" s="50"/>
      <c r="Q35" s="38"/>
      <c r="R35" s="38">
        <f t="shared" si="15"/>
        <v>1.2294074256208507</v>
      </c>
      <c r="S35" s="38">
        <f>M35*R35/100</f>
        <v>0.55323334152938275</v>
      </c>
    </row>
    <row r="36" spans="1:19" ht="19.5" customHeight="1">
      <c r="A36" s="53" t="s">
        <v>128</v>
      </c>
      <c r="B36" s="24" t="s">
        <v>130</v>
      </c>
      <c r="C36" s="108">
        <v>300000000</v>
      </c>
      <c r="D36" s="32">
        <f t="shared" si="16"/>
        <v>0.73764445537251044</v>
      </c>
      <c r="E36" s="32">
        <f>(150000000)/$C$36*100</f>
        <v>50</v>
      </c>
      <c r="F36" s="32">
        <f>(150000000+141840000)/$C$36*100</f>
        <v>97.28</v>
      </c>
      <c r="G36" s="32">
        <f>(150000000+141840000+0)/$C$36*100</f>
        <v>97.28</v>
      </c>
      <c r="H36" s="32">
        <f>(150000000+141840000+0+8160000)/$C$36*100</f>
        <v>100</v>
      </c>
      <c r="I36" s="57">
        <v>27020000</v>
      </c>
      <c r="J36" s="57">
        <v>24698000</v>
      </c>
      <c r="K36" s="57">
        <f t="shared" si="12"/>
        <v>51718000</v>
      </c>
      <c r="L36" s="32">
        <v>0</v>
      </c>
      <c r="M36" s="74">
        <v>50</v>
      </c>
      <c r="N36" s="32">
        <f t="shared" si="17"/>
        <v>0</v>
      </c>
      <c r="O36" s="32">
        <f t="shared" si="14"/>
        <v>0.36882222768625522</v>
      </c>
      <c r="P36" s="50"/>
      <c r="Q36" s="38"/>
      <c r="R36" s="38">
        <f>C36/$C$24*100</f>
        <v>0.73764445537251044</v>
      </c>
      <c r="S36" s="38">
        <f t="shared" ref="S36" si="23">M36*R36/100</f>
        <v>0.36882222768625522</v>
      </c>
    </row>
    <row r="37" spans="1:19" ht="18.75" customHeight="1">
      <c r="A37" s="53" t="s">
        <v>129</v>
      </c>
      <c r="B37" s="24" t="s">
        <v>132</v>
      </c>
      <c r="C37" s="108">
        <v>1600000000</v>
      </c>
      <c r="D37" s="32">
        <f t="shared" si="16"/>
        <v>3.9341037619867221</v>
      </c>
      <c r="E37" s="32">
        <f>(406944000)/$C$37*100</f>
        <v>25.434000000000001</v>
      </c>
      <c r="F37" s="32">
        <f>(406944000+430000000)/$C$37*100</f>
        <v>52.309000000000005</v>
      </c>
      <c r="G37" s="32">
        <f>(406944000+430000000+523835000)/$C$37*100</f>
        <v>85.0486875</v>
      </c>
      <c r="H37" s="32">
        <f>(406944000+430000000+523835000+239221000)/$C$37*100</f>
        <v>100</v>
      </c>
      <c r="I37" s="57">
        <f>562247950+145425350</f>
        <v>707673300</v>
      </c>
      <c r="J37" s="57">
        <f>44515300+29824319</f>
        <v>74339619</v>
      </c>
      <c r="K37" s="57">
        <f t="shared" si="12"/>
        <v>782012919</v>
      </c>
      <c r="L37" s="32">
        <f t="shared" si="13"/>
        <v>48.875807437500001</v>
      </c>
      <c r="M37" s="74">
        <v>70</v>
      </c>
      <c r="N37" s="32">
        <f t="shared" si="17"/>
        <v>1.9228249791000736</v>
      </c>
      <c r="O37" s="32">
        <f t="shared" si="14"/>
        <v>2.7538726333907055</v>
      </c>
      <c r="P37" s="50"/>
      <c r="Q37" s="38"/>
      <c r="R37" s="38">
        <f t="shared" ref="R37:R47" si="24">C37/$C$24*100</f>
        <v>3.9341037619867221</v>
      </c>
      <c r="S37" s="38">
        <f>M37*R37/100</f>
        <v>2.7538726333907055</v>
      </c>
    </row>
    <row r="38" spans="1:19" ht="17.25" customHeight="1">
      <c r="A38" s="53" t="s">
        <v>131</v>
      </c>
      <c r="B38" s="24" t="s">
        <v>134</v>
      </c>
      <c r="C38" s="108">
        <v>100000000</v>
      </c>
      <c r="D38" s="32">
        <f t="shared" si="16"/>
        <v>0.24588148512417013</v>
      </c>
      <c r="E38" s="32">
        <f>(97540000)/$C$38*100</f>
        <v>97.54</v>
      </c>
      <c r="F38" s="32">
        <f>(97540000)/$C$38*100</f>
        <v>97.54</v>
      </c>
      <c r="G38" s="32">
        <f>(97540000)/$C$38*100</f>
        <v>97.54</v>
      </c>
      <c r="H38" s="32">
        <f>(97540000+0+0+2460000)/$C$38*100</f>
        <v>100</v>
      </c>
      <c r="I38" s="57">
        <f>74651735+11134064</f>
        <v>85785799</v>
      </c>
      <c r="J38" s="57">
        <v>10448943</v>
      </c>
      <c r="K38" s="57">
        <f t="shared" si="12"/>
        <v>96234742</v>
      </c>
      <c r="L38" s="32">
        <f t="shared" si="13"/>
        <v>96.234741999999997</v>
      </c>
      <c r="M38" s="102">
        <v>100</v>
      </c>
      <c r="N38" s="32">
        <f t="shared" si="17"/>
        <v>0.23662341283501348</v>
      </c>
      <c r="O38" s="32">
        <f t="shared" si="14"/>
        <v>0.24588148512417013</v>
      </c>
      <c r="P38" s="50"/>
      <c r="Q38" s="54"/>
      <c r="R38" s="38">
        <f t="shared" si="24"/>
        <v>0.24588148512417013</v>
      </c>
      <c r="S38" s="38">
        <f t="shared" ref="S38" si="25">M38*R38/100</f>
        <v>0.24588148512417013</v>
      </c>
    </row>
    <row r="39" spans="1:19" ht="18.75" customHeight="1">
      <c r="A39" s="53" t="s">
        <v>133</v>
      </c>
      <c r="B39" s="24" t="s">
        <v>136</v>
      </c>
      <c r="C39" s="108">
        <v>900000000</v>
      </c>
      <c r="D39" s="32">
        <f t="shared" si="16"/>
        <v>2.2129333661175314</v>
      </c>
      <c r="E39" s="32">
        <f>(200000000)/$C$39*100</f>
        <v>22.222222222222221</v>
      </c>
      <c r="F39" s="32">
        <f>(200000000+285159000)/$C$39*100</f>
        <v>53.906555555555556</v>
      </c>
      <c r="G39" s="32">
        <f>(200000000+285159000+200000000)/$C$39*100</f>
        <v>76.128777777777785</v>
      </c>
      <c r="H39" s="32">
        <f>(200000000+285159000+200000000+214841000)/$C$39*100</f>
        <v>100</v>
      </c>
      <c r="I39" s="57">
        <f>234339371+16813665</f>
        <v>251153036</v>
      </c>
      <c r="J39" s="57">
        <v>32132358</v>
      </c>
      <c r="K39" s="57">
        <f t="shared" si="12"/>
        <v>283285394</v>
      </c>
      <c r="L39" s="32">
        <f t="shared" si="13"/>
        <v>31.476154888888892</v>
      </c>
      <c r="M39" s="74">
        <v>58.33</v>
      </c>
      <c r="N39" s="32">
        <f t="shared" si="17"/>
        <v>0.696546333907057</v>
      </c>
      <c r="O39" s="32">
        <f t="shared" si="14"/>
        <v>1.2908040324563561</v>
      </c>
      <c r="P39" s="50"/>
      <c r="Q39" s="38"/>
      <c r="R39" s="38">
        <f t="shared" si="24"/>
        <v>2.2129333661175314</v>
      </c>
      <c r="S39" s="38">
        <f>M39*R39/100</f>
        <v>1.2908040324563561</v>
      </c>
    </row>
    <row r="40" spans="1:19" ht="18" customHeight="1">
      <c r="A40" s="53" t="s">
        <v>135</v>
      </c>
      <c r="B40" s="24" t="s">
        <v>138</v>
      </c>
      <c r="C40" s="108">
        <v>75000000</v>
      </c>
      <c r="D40" s="32">
        <f t="shared" si="16"/>
        <v>0.18441111384312761</v>
      </c>
      <c r="E40" s="32">
        <f>(72470000)/$C$40*100</f>
        <v>96.626666666666665</v>
      </c>
      <c r="F40" s="32">
        <f>(72470000+2530000)/$C$40*100</f>
        <v>100</v>
      </c>
      <c r="G40" s="32">
        <f>(72470000+2530000)/$C$40*100</f>
        <v>100</v>
      </c>
      <c r="H40" s="32">
        <f>(72470000+2530000)/$C$40*100</f>
        <v>100</v>
      </c>
      <c r="I40" s="57">
        <v>0</v>
      </c>
      <c r="J40" s="57">
        <v>0</v>
      </c>
      <c r="K40" s="57">
        <f t="shared" si="12"/>
        <v>0</v>
      </c>
      <c r="L40" s="32">
        <f t="shared" si="13"/>
        <v>0</v>
      </c>
      <c r="M40" s="102">
        <v>100</v>
      </c>
      <c r="N40" s="32">
        <f t="shared" si="17"/>
        <v>0</v>
      </c>
      <c r="O40" s="32">
        <f t="shared" si="14"/>
        <v>0.18441111384312761</v>
      </c>
      <c r="P40" s="50"/>
      <c r="Q40" s="38"/>
      <c r="R40" s="38">
        <f t="shared" si="24"/>
        <v>0.18441111384312761</v>
      </c>
      <c r="S40" s="38">
        <f t="shared" ref="S40" si="26">M40*R40/100</f>
        <v>0.18441111384312761</v>
      </c>
    </row>
    <row r="41" spans="1:19" ht="18.75" customHeight="1">
      <c r="A41" s="53" t="s">
        <v>137</v>
      </c>
      <c r="B41" s="104" t="s">
        <v>140</v>
      </c>
      <c r="C41" s="108">
        <v>4690230500</v>
      </c>
      <c r="D41" s="32">
        <f t="shared" si="16"/>
        <v>11.532408409146791</v>
      </c>
      <c r="E41" s="32">
        <f>(600000000)/$C$41*100</f>
        <v>12.7925482553576</v>
      </c>
      <c r="F41" s="32">
        <f>(600000000+3030310500)/$C$41*100</f>
        <v>77.401537088635621</v>
      </c>
      <c r="G41" s="32">
        <f>(600000000+3030310500+600000000)/$C$41*100</f>
        <v>90.194085343993223</v>
      </c>
      <c r="H41" s="32">
        <f>(600000000+3030310500+600000000+459920000)/$C$41*100</f>
        <v>100</v>
      </c>
      <c r="I41" s="57">
        <f>2457465307+383285960</f>
        <v>2840751267</v>
      </c>
      <c r="J41" s="57">
        <f>428663660+289811000</f>
        <v>718474660</v>
      </c>
      <c r="K41" s="57">
        <f t="shared" si="12"/>
        <v>3559225927</v>
      </c>
      <c r="L41" s="32">
        <f t="shared" si="13"/>
        <v>75.885949038112315</v>
      </c>
      <c r="M41" s="74">
        <v>82.67</v>
      </c>
      <c r="N41" s="32">
        <f t="shared" si="17"/>
        <v>8.7514775682321133</v>
      </c>
      <c r="O41" s="32">
        <f t="shared" si="14"/>
        <v>9.5338420318416528</v>
      </c>
      <c r="P41" s="50"/>
      <c r="Q41" s="38"/>
      <c r="R41" s="38">
        <f t="shared" si="24"/>
        <v>11.532408409146791</v>
      </c>
      <c r="S41" s="38">
        <f>M41*R41/100</f>
        <v>9.5338420318416528</v>
      </c>
    </row>
    <row r="42" spans="1:19" ht="20.25" customHeight="1">
      <c r="A42" s="53" t="s">
        <v>139</v>
      </c>
      <c r="B42" s="24" t="s">
        <v>142</v>
      </c>
      <c r="C42" s="108">
        <v>600000000</v>
      </c>
      <c r="D42" s="32">
        <f t="shared" si="16"/>
        <v>1.4752889107450209</v>
      </c>
      <c r="E42" s="32">
        <f>(50000000)/$C$42*100</f>
        <v>8.3333333333333321</v>
      </c>
      <c r="F42" s="32">
        <f>(50000000+500000000)/$C$42*100</f>
        <v>91.666666666666657</v>
      </c>
      <c r="G42" s="32">
        <f>(50000000+500000000+50000000)/$C$42*100</f>
        <v>100</v>
      </c>
      <c r="H42" s="32">
        <f>(50000000+500000000+50000000)/$C$42*100</f>
        <v>100</v>
      </c>
      <c r="I42" s="57">
        <v>0</v>
      </c>
      <c r="J42" s="57">
        <f>388834260+1221000</f>
        <v>390055260</v>
      </c>
      <c r="K42" s="57">
        <f t="shared" si="12"/>
        <v>390055260</v>
      </c>
      <c r="L42" s="32">
        <f t="shared" si="13"/>
        <v>65.009209999999996</v>
      </c>
      <c r="M42" s="102">
        <v>80</v>
      </c>
      <c r="N42" s="32">
        <f t="shared" si="17"/>
        <v>0.95907366609294309</v>
      </c>
      <c r="O42" s="32">
        <f t="shared" si="14"/>
        <v>1.1802311285960168</v>
      </c>
      <c r="P42" s="50"/>
      <c r="Q42" s="38"/>
      <c r="R42" s="38">
        <f t="shared" si="24"/>
        <v>1.4752889107450209</v>
      </c>
      <c r="S42" s="38">
        <f t="shared" ref="S42" si="27">M42*R42/100</f>
        <v>1.1802311285960168</v>
      </c>
    </row>
    <row r="43" spans="1:19" ht="23.25" customHeight="1">
      <c r="A43" s="53" t="s">
        <v>141</v>
      </c>
      <c r="B43" s="24" t="s">
        <v>144</v>
      </c>
      <c r="C43" s="108">
        <v>946480000</v>
      </c>
      <c r="D43" s="32">
        <f t="shared" si="16"/>
        <v>2.3272190804032458</v>
      </c>
      <c r="E43" s="32">
        <f>(300000000)/$C$43*100</f>
        <v>31.696390837629956</v>
      </c>
      <c r="F43" s="32">
        <f>(300000000+496480000)/$C$43*100</f>
        <v>84.151804581185019</v>
      </c>
      <c r="G43" s="32">
        <f>(300000000+496480000+150000000)/$C$43*100</f>
        <v>100</v>
      </c>
      <c r="H43" s="32">
        <f>(300000000+496480000+150000000)/$C$43*100</f>
        <v>100</v>
      </c>
      <c r="I43" s="57">
        <f>809386000+2750000</f>
        <v>812136000</v>
      </c>
      <c r="J43" s="57">
        <v>31000000</v>
      </c>
      <c r="K43" s="57">
        <f t="shared" si="12"/>
        <v>843136000</v>
      </c>
      <c r="L43" s="32">
        <f t="shared" si="13"/>
        <v>89.081227284253231</v>
      </c>
      <c r="M43" s="74">
        <v>90</v>
      </c>
      <c r="N43" s="32">
        <f t="shared" si="17"/>
        <v>2.0731153184165234</v>
      </c>
      <c r="O43" s="32">
        <f t="shared" si="14"/>
        <v>2.0944971723629213</v>
      </c>
      <c r="P43" s="50"/>
      <c r="Q43" s="38"/>
      <c r="R43" s="38">
        <f t="shared" si="24"/>
        <v>2.3272190804032458</v>
      </c>
      <c r="S43" s="38">
        <f>M43*R43/100</f>
        <v>2.0944971723629213</v>
      </c>
    </row>
    <row r="44" spans="1:19" ht="23.25" customHeight="1">
      <c r="A44" s="53" t="s">
        <v>143</v>
      </c>
      <c r="B44" s="24" t="s">
        <v>163</v>
      </c>
      <c r="C44" s="108">
        <v>450000000</v>
      </c>
      <c r="D44" s="32">
        <f t="shared" si="16"/>
        <v>1.1064666830587657</v>
      </c>
      <c r="E44" s="32">
        <f>(0)/$C$44*100</f>
        <v>0</v>
      </c>
      <c r="F44" s="32">
        <f>(0)/$C$44*100</f>
        <v>0</v>
      </c>
      <c r="G44" s="32">
        <f>(450000000)/$C$44*100</f>
        <v>100</v>
      </c>
      <c r="H44" s="32">
        <f>(450000000)/$C$44*100</f>
        <v>100</v>
      </c>
      <c r="I44" s="57">
        <v>0</v>
      </c>
      <c r="J44" s="57">
        <v>19525000</v>
      </c>
      <c r="K44" s="57">
        <f t="shared" si="12"/>
        <v>19525000</v>
      </c>
      <c r="L44" s="32">
        <f t="shared" si="13"/>
        <v>4.3388888888888886</v>
      </c>
      <c r="M44" s="103">
        <v>10</v>
      </c>
      <c r="N44" s="32">
        <f t="shared" si="17"/>
        <v>4.800835997049422E-2</v>
      </c>
      <c r="O44" s="32">
        <f t="shared" si="14"/>
        <v>0.11064666830587658</v>
      </c>
      <c r="P44" s="50"/>
      <c r="Q44" s="38"/>
      <c r="R44" s="38">
        <f t="shared" si="24"/>
        <v>1.1064666830587657</v>
      </c>
      <c r="S44" s="38">
        <f t="shared" ref="S44" si="28">M44*R44/100</f>
        <v>0.11064666830587658</v>
      </c>
    </row>
    <row r="45" spans="1:19" ht="19.5" customHeight="1">
      <c r="A45" s="42" t="s">
        <v>145</v>
      </c>
      <c r="B45" s="24" t="s">
        <v>164</v>
      </c>
      <c r="C45" s="108">
        <v>700000000</v>
      </c>
      <c r="D45" s="32">
        <f t="shared" si="16"/>
        <v>1.7211703958691909</v>
      </c>
      <c r="E45" s="32">
        <f>(0)/$C$45*100</f>
        <v>0</v>
      </c>
      <c r="F45" s="32">
        <f>(0)/$C$45*100</f>
        <v>0</v>
      </c>
      <c r="G45" s="32">
        <f>(0+0+700000000)/$C$45*100</f>
        <v>100</v>
      </c>
      <c r="H45" s="32">
        <f>(0+0+700000000+0)/$C$45*100</f>
        <v>100</v>
      </c>
      <c r="I45" s="109">
        <v>0</v>
      </c>
      <c r="J45" s="109">
        <v>0</v>
      </c>
      <c r="K45" s="57">
        <f t="shared" si="12"/>
        <v>0</v>
      </c>
      <c r="L45" s="32">
        <f t="shared" si="13"/>
        <v>0</v>
      </c>
      <c r="M45" s="103">
        <v>10</v>
      </c>
      <c r="N45" s="32">
        <f t="shared" si="17"/>
        <v>0</v>
      </c>
      <c r="O45" s="32">
        <f t="shared" si="14"/>
        <v>0.1721170395869191</v>
      </c>
      <c r="P45" s="50"/>
      <c r="Q45" s="38"/>
      <c r="R45" s="38">
        <f t="shared" si="24"/>
        <v>1.7211703958691909</v>
      </c>
      <c r="S45" s="38">
        <f>M45*R45/100</f>
        <v>0.1721170395869191</v>
      </c>
    </row>
    <row r="46" spans="1:19" ht="20.25" customHeight="1">
      <c r="A46" s="42" t="s">
        <v>146</v>
      </c>
      <c r="B46" s="24" t="s">
        <v>165</v>
      </c>
      <c r="C46" s="108">
        <v>750000000</v>
      </c>
      <c r="D46" s="32">
        <f t="shared" si="16"/>
        <v>1.8441111384312763</v>
      </c>
      <c r="E46" s="32">
        <f>(0)/$C$46*100</f>
        <v>0</v>
      </c>
      <c r="F46" s="32">
        <f>(0)/$C$46*100</f>
        <v>0</v>
      </c>
      <c r="G46" s="32">
        <f>(0+0+750000000)/$C$46*100</f>
        <v>100</v>
      </c>
      <c r="H46" s="32">
        <f>(0+0+750000000)/$C$46*100</f>
        <v>100</v>
      </c>
      <c r="I46" s="109">
        <v>0</v>
      </c>
      <c r="J46" s="57">
        <v>37895000</v>
      </c>
      <c r="K46" s="57">
        <f t="shared" si="12"/>
        <v>37895000</v>
      </c>
      <c r="L46" s="32">
        <f t="shared" si="13"/>
        <v>5.0526666666666662</v>
      </c>
      <c r="M46" s="103">
        <v>20</v>
      </c>
      <c r="N46" s="32">
        <f t="shared" si="17"/>
        <v>9.3176788787804277E-2</v>
      </c>
      <c r="O46" s="32">
        <f t="shared" si="14"/>
        <v>0.36882222768625522</v>
      </c>
      <c r="P46" s="50"/>
      <c r="Q46" s="38"/>
      <c r="R46" s="38">
        <f t="shared" si="24"/>
        <v>1.8441111384312763</v>
      </c>
      <c r="S46" s="38">
        <f t="shared" ref="S46" si="29">M46*R46/100</f>
        <v>0.36882222768625522</v>
      </c>
    </row>
    <row r="47" spans="1:19" ht="18.75" customHeight="1">
      <c r="A47" s="42" t="s">
        <v>147</v>
      </c>
      <c r="B47" s="24" t="s">
        <v>166</v>
      </c>
      <c r="C47" s="108">
        <v>9769500</v>
      </c>
      <c r="D47" s="32">
        <f t="shared" si="16"/>
        <v>2.4021391689205803E-2</v>
      </c>
      <c r="E47" s="32">
        <f>(0)/$C$47*100</f>
        <v>0</v>
      </c>
      <c r="F47" s="32">
        <f>(0)/$C$47*100</f>
        <v>0</v>
      </c>
      <c r="G47" s="32">
        <f>(0+0+9769500)/$C$47*100</f>
        <v>100</v>
      </c>
      <c r="H47" s="32">
        <f>(0+0+9769500)/$C$47*100</f>
        <v>100</v>
      </c>
      <c r="I47" s="109">
        <v>0</v>
      </c>
      <c r="J47" s="109">
        <v>0</v>
      </c>
      <c r="K47" s="57">
        <f t="shared" si="12"/>
        <v>0</v>
      </c>
      <c r="L47" s="32">
        <f t="shared" si="13"/>
        <v>0</v>
      </c>
      <c r="M47" s="144">
        <v>0</v>
      </c>
      <c r="N47" s="32">
        <f t="shared" si="17"/>
        <v>0</v>
      </c>
      <c r="O47" s="32">
        <f t="shared" si="14"/>
        <v>0</v>
      </c>
      <c r="P47" s="50"/>
      <c r="Q47" s="38"/>
      <c r="R47" s="38">
        <f t="shared" si="24"/>
        <v>2.4021391689205803E-2</v>
      </c>
      <c r="S47" s="38">
        <f>M47*R47/100</f>
        <v>0</v>
      </c>
    </row>
    <row r="48" spans="1:19">
      <c r="A48" s="9"/>
      <c r="B48" s="55"/>
      <c r="C48" s="31"/>
      <c r="D48" s="32"/>
      <c r="E48" s="143"/>
      <c r="F48" s="143"/>
      <c r="G48" s="143"/>
      <c r="H48" s="143"/>
      <c r="I48" s="109"/>
      <c r="J48" s="57"/>
      <c r="K48" s="57"/>
      <c r="L48" s="143"/>
      <c r="M48" s="143"/>
      <c r="N48" s="143"/>
      <c r="O48" s="143"/>
      <c r="P48" s="43"/>
      <c r="Q48" s="38"/>
      <c r="R48" s="38"/>
      <c r="S48" s="38"/>
    </row>
    <row r="49" spans="1:29" ht="19.5" customHeight="1">
      <c r="A49" s="8"/>
      <c r="B49" s="10" t="s">
        <v>37</v>
      </c>
      <c r="C49" s="56">
        <f>SUM(C50:C56)</f>
        <v>90770000000</v>
      </c>
      <c r="D49" s="126">
        <f>C49/$C$15*100</f>
        <v>52.865463016889926</v>
      </c>
      <c r="E49" s="126">
        <f>(36012707000)/$C$49*100</f>
        <v>39.674679960339319</v>
      </c>
      <c r="F49" s="126">
        <f>(36012707000+34513450550)/$C$49*100</f>
        <v>77.697650710587197</v>
      </c>
      <c r="G49" s="126">
        <f>(36012707000+34513450550+17302707000)/$C$49*100</f>
        <v>96.759793489038231</v>
      </c>
      <c r="H49" s="126">
        <f>(36012707000+34513450550+17302707000+2941135450)/$C$49*100</f>
        <v>100</v>
      </c>
      <c r="I49" s="127">
        <f>SUM(I50:I57)</f>
        <v>69661279376</v>
      </c>
      <c r="J49" s="127">
        <f t="shared" ref="J49:K49" si="30">SUM(J50:J57)</f>
        <v>7010510670</v>
      </c>
      <c r="K49" s="127">
        <f t="shared" si="30"/>
        <v>76671790046</v>
      </c>
      <c r="L49" s="126">
        <f>K49/C49*100</f>
        <v>84.468205404869451</v>
      </c>
      <c r="M49" s="126">
        <f>S49</f>
        <v>84.491153515478672</v>
      </c>
      <c r="N49" s="126">
        <f>L49*D49/100</f>
        <v>44.654507889341879</v>
      </c>
      <c r="O49" s="126">
        <f>M49*D49/100</f>
        <v>44.666639514269072</v>
      </c>
      <c r="P49" s="13" t="s">
        <v>100</v>
      </c>
      <c r="Q49" s="20"/>
      <c r="R49" s="38"/>
      <c r="S49" s="48">
        <f>SUM(S50:S56)</f>
        <v>84.491153515478672</v>
      </c>
      <c r="T49">
        <f>C49/$C$10*100</f>
        <v>52.814148396585558</v>
      </c>
      <c r="U49">
        <f>M49*T49/100</f>
        <v>44.623283199651823</v>
      </c>
    </row>
    <row r="50" spans="1:29" ht="34.5" customHeight="1">
      <c r="A50" s="53" t="s">
        <v>69</v>
      </c>
      <c r="B50" s="25" t="s">
        <v>38</v>
      </c>
      <c r="C50" s="29">
        <v>198600000</v>
      </c>
      <c r="D50" s="32">
        <f>C50/$C$49*100</f>
        <v>0.21879475597664427</v>
      </c>
      <c r="E50" s="32">
        <f>(49650000)/$C$50*100</f>
        <v>25</v>
      </c>
      <c r="F50" s="32">
        <f>(49650000+49650000)/$C$50*100</f>
        <v>50</v>
      </c>
      <c r="G50" s="32">
        <f>(49650000+49650000+49650000)/$C$50*100</f>
        <v>75</v>
      </c>
      <c r="H50" s="32">
        <f>(49650000+49650000+49650000+49650000)/$C$50*100</f>
        <v>100</v>
      </c>
      <c r="I50" s="57">
        <v>130000000</v>
      </c>
      <c r="J50" s="57">
        <v>16250000</v>
      </c>
      <c r="K50" s="57">
        <f t="shared" ref="K50:K56" si="31">I50+J50</f>
        <v>146250000</v>
      </c>
      <c r="L50" s="32">
        <f t="shared" ref="L50:L56" si="32">K50/C50*100</f>
        <v>73.64048338368579</v>
      </c>
      <c r="M50" s="132">
        <v>75</v>
      </c>
      <c r="N50" s="32">
        <f>L50*D50/100</f>
        <v>0.16112151591935661</v>
      </c>
      <c r="O50" s="32">
        <f>M50*D50/100</f>
        <v>0.16409606698248322</v>
      </c>
      <c r="P50" s="50"/>
      <c r="Q50" s="38"/>
      <c r="R50" s="38">
        <f t="shared" ref="R50:R56" si="33">C50/$C$49*100</f>
        <v>0.21879475597664427</v>
      </c>
      <c r="S50" s="38">
        <f t="shared" ref="S50:S56" si="34">M50*R50/100</f>
        <v>0.16409606698248322</v>
      </c>
    </row>
    <row r="51" spans="1:29" ht="18" customHeight="1">
      <c r="A51" s="42" t="s">
        <v>70</v>
      </c>
      <c r="B51" s="25" t="s">
        <v>39</v>
      </c>
      <c r="C51" s="29">
        <v>325000000</v>
      </c>
      <c r="D51" s="32">
        <f t="shared" ref="D51:D56" si="35">C51/$C$49*100</f>
        <v>0.35804781315412582</v>
      </c>
      <c r="E51" s="32">
        <f>(31000000)/$C$51*100</f>
        <v>9.5384615384615383</v>
      </c>
      <c r="F51" s="32">
        <f>(31000000+209743550)/$C$51*100</f>
        <v>74.074938461538466</v>
      </c>
      <c r="G51" s="32">
        <f>(31000000+209743550+44000000)/$C$51*100</f>
        <v>87.613399999999999</v>
      </c>
      <c r="H51" s="32">
        <f>(31000000+209743550+44000000+40256450)/$C$51*100</f>
        <v>100</v>
      </c>
      <c r="I51" s="57">
        <f>165354758+37810825</f>
        <v>203165583</v>
      </c>
      <c r="J51" s="105">
        <v>16093350</v>
      </c>
      <c r="K51" s="57">
        <f t="shared" si="31"/>
        <v>219258933</v>
      </c>
      <c r="L51" s="32">
        <f t="shared" si="32"/>
        <v>67.464287076923085</v>
      </c>
      <c r="M51" s="132">
        <v>67.464287076923085</v>
      </c>
      <c r="N51" s="32">
        <f t="shared" ref="N51" si="36">L51*D51/100</f>
        <v>0.24155440453894461</v>
      </c>
      <c r="O51" s="32">
        <f t="shared" ref="O51" si="37">M51*D51/100</f>
        <v>0.24155440453894461</v>
      </c>
      <c r="P51" s="50"/>
      <c r="Q51" s="38"/>
      <c r="R51" s="38">
        <f t="shared" si="33"/>
        <v>0.35804781315412582</v>
      </c>
      <c r="S51" s="38">
        <f t="shared" si="34"/>
        <v>0.24155440453894461</v>
      </c>
    </row>
    <row r="52" spans="1:29" ht="18" customHeight="1">
      <c r="A52" s="42" t="s">
        <v>71</v>
      </c>
      <c r="B52" s="25" t="s">
        <v>40</v>
      </c>
      <c r="C52" s="29">
        <v>16496400000</v>
      </c>
      <c r="D52" s="32">
        <f t="shared" si="35"/>
        <v>18.173845984356067</v>
      </c>
      <c r="E52" s="32">
        <f>(5321535000)/$C$52*100</f>
        <v>32.258765548847023</v>
      </c>
      <c r="F52" s="32">
        <f>(5321535000+5221535000)/$C$52*100</f>
        <v>63.911338231371694</v>
      </c>
      <c r="G52" s="32">
        <f>(5321535000+5221535000+4121535000)/$C$52*100</f>
        <v>88.895789384350522</v>
      </c>
      <c r="H52" s="32">
        <f>(5321535000+5221535000+4121535000+1831795000)/$C$52*100</f>
        <v>100</v>
      </c>
      <c r="I52" s="57">
        <f>9583268000+1541126741</f>
        <v>11124394741</v>
      </c>
      <c r="J52" s="106">
        <f>1118550000+113420529</f>
        <v>1231970529</v>
      </c>
      <c r="K52" s="57">
        <f t="shared" si="31"/>
        <v>12356365270</v>
      </c>
      <c r="L52" s="32">
        <f t="shared" si="32"/>
        <v>74.90340480347227</v>
      </c>
      <c r="M52" s="132">
        <v>74.90340480347227</v>
      </c>
      <c r="N52" s="32">
        <f>L52*D52/100</f>
        <v>13.612829426021815</v>
      </c>
      <c r="O52" s="32">
        <f>M52*D52/100</f>
        <v>13.612829426021815</v>
      </c>
      <c r="P52" s="50"/>
      <c r="Q52" s="38"/>
      <c r="R52" s="38">
        <f t="shared" si="33"/>
        <v>18.173845984356067</v>
      </c>
      <c r="S52" s="38">
        <f t="shared" si="34"/>
        <v>13.612829426021815</v>
      </c>
    </row>
    <row r="53" spans="1:29" ht="18" customHeight="1">
      <c r="A53" s="53" t="s">
        <v>72</v>
      </c>
      <c r="B53" s="25" t="s">
        <v>167</v>
      </c>
      <c r="C53" s="29">
        <v>1150000000</v>
      </c>
      <c r="D53" s="32">
        <f t="shared" si="35"/>
        <v>1.2669384157761376</v>
      </c>
      <c r="E53" s="32">
        <f>(1150000000)/$C$53*100</f>
        <v>100</v>
      </c>
      <c r="F53" s="32">
        <f>(1150000000)/$C$53*100</f>
        <v>100</v>
      </c>
      <c r="G53" s="32">
        <f>(1150000000)/$C$53*100</f>
        <v>100</v>
      </c>
      <c r="H53" s="32">
        <f>(1150000000)/$C$53*100</f>
        <v>100</v>
      </c>
      <c r="I53" s="57">
        <v>0</v>
      </c>
      <c r="J53" s="57">
        <v>0</v>
      </c>
      <c r="K53" s="57">
        <f t="shared" si="31"/>
        <v>0</v>
      </c>
      <c r="L53" s="32">
        <f t="shared" si="32"/>
        <v>0</v>
      </c>
      <c r="M53" s="132">
        <v>0</v>
      </c>
      <c r="N53" s="32">
        <f t="shared" ref="N53" si="38">L53*D53/100</f>
        <v>0</v>
      </c>
      <c r="O53" s="32">
        <f t="shared" ref="O53" si="39">M53*D53/100</f>
        <v>0</v>
      </c>
      <c r="P53" s="50"/>
      <c r="Q53" s="38"/>
      <c r="R53" s="38">
        <f t="shared" si="33"/>
        <v>1.2669384157761376</v>
      </c>
      <c r="S53" s="38">
        <f t="shared" si="34"/>
        <v>0</v>
      </c>
    </row>
    <row r="54" spans="1:29" ht="21" customHeight="1">
      <c r="A54" s="53" t="s">
        <v>73</v>
      </c>
      <c r="B54" s="25" t="s">
        <v>41</v>
      </c>
      <c r="C54" s="29">
        <v>68500000000</v>
      </c>
      <c r="D54" s="32">
        <f t="shared" si="35"/>
        <v>75.465462157100362</v>
      </c>
      <c r="E54" s="32">
        <f>(27719748000)/$C$54*100</f>
        <v>40.466785401459852</v>
      </c>
      <c r="F54" s="32">
        <f>(27719748000+27719748000)/$C$54*100</f>
        <v>80.933570802919704</v>
      </c>
      <c r="G54" s="32">
        <f>(27719748000+27719748000+12619748000)/$C$54*100</f>
        <v>99.356560583941615</v>
      </c>
      <c r="H54" s="32">
        <f>(27719748000+27719748000+12619748000+440756000)/$C$54*100</f>
        <v>100</v>
      </c>
      <c r="I54" s="57">
        <f>2919699702+52312215510+137300000</f>
        <v>55369215212</v>
      </c>
      <c r="J54" s="105">
        <f>330416902+5054390569</f>
        <v>5384807471</v>
      </c>
      <c r="K54" s="57">
        <f t="shared" si="31"/>
        <v>60754022683</v>
      </c>
      <c r="L54" s="150">
        <f t="shared" si="32"/>
        <v>88.692003916788323</v>
      </c>
      <c r="M54" s="132">
        <v>88.692003916788323</v>
      </c>
      <c r="N54" s="32">
        <f>L54*D54/100</f>
        <v>66.93183065219786</v>
      </c>
      <c r="O54" s="32">
        <f>M54*D54/100</f>
        <v>66.93183065219786</v>
      </c>
      <c r="P54" s="50"/>
      <c r="Q54" s="52"/>
      <c r="R54" s="38">
        <f t="shared" si="33"/>
        <v>75.465462157100362</v>
      </c>
      <c r="S54" s="38">
        <f t="shared" si="34"/>
        <v>66.93183065219786</v>
      </c>
    </row>
    <row r="55" spans="1:29" ht="20.25" customHeight="1">
      <c r="A55" s="53" t="s">
        <v>74</v>
      </c>
      <c r="B55" s="25" t="s">
        <v>42</v>
      </c>
      <c r="C55" s="29">
        <v>4000000000</v>
      </c>
      <c r="D55" s="32">
        <f t="shared" si="35"/>
        <v>4.4067423157430872</v>
      </c>
      <c r="E55" s="32">
        <f>(1190774000)/$C$55*100</f>
        <v>29.769349999999999</v>
      </c>
      <c r="F55" s="32">
        <f>(1190774000+1212774000)/$C$55*100</f>
        <v>60.088699999999996</v>
      </c>
      <c r="G55" s="32">
        <f>(1190774000+1212774000+1017774000)/$C$55*100</f>
        <v>85.533050000000003</v>
      </c>
      <c r="H55" s="32">
        <f>(1190774000+1212774000+1017774000+578678000)/$C$55*100</f>
        <v>100</v>
      </c>
      <c r="I55" s="57">
        <f>2449663503+302970337</f>
        <v>2752633840</v>
      </c>
      <c r="J55" s="106">
        <f>326773425+34615895</f>
        <v>361389320</v>
      </c>
      <c r="K55" s="57">
        <f t="shared" si="31"/>
        <v>3114023160</v>
      </c>
      <c r="L55" s="32">
        <f t="shared" si="32"/>
        <v>77.850578999999996</v>
      </c>
      <c r="M55" s="132">
        <v>77.850578999999996</v>
      </c>
      <c r="N55" s="32">
        <f t="shared" ref="N55" si="40">L55*D55/100</f>
        <v>3.4306744078440015</v>
      </c>
      <c r="O55" s="32">
        <f t="shared" ref="O55" si="41">M55*D55/100</f>
        <v>3.4306744078440015</v>
      </c>
      <c r="P55" s="50"/>
      <c r="Q55" s="38"/>
      <c r="R55" s="38">
        <f t="shared" si="33"/>
        <v>4.4067423157430872</v>
      </c>
      <c r="S55" s="38">
        <f t="shared" si="34"/>
        <v>3.4306744078440015</v>
      </c>
    </row>
    <row r="56" spans="1:29" ht="18.75" customHeight="1">
      <c r="A56" s="53" t="s">
        <v>75</v>
      </c>
      <c r="B56" s="25" t="s">
        <v>43</v>
      </c>
      <c r="C56" s="29">
        <v>100000000</v>
      </c>
      <c r="D56" s="32">
        <f t="shared" si="35"/>
        <v>0.11016855789357717</v>
      </c>
      <c r="E56" s="32">
        <f>(0)/$C$56*100</f>
        <v>0</v>
      </c>
      <c r="F56" s="32">
        <f>(0+100000000)/$C$56*100</f>
        <v>100</v>
      </c>
      <c r="G56" s="32">
        <f>(0+100000000+0)/$C$56*100</f>
        <v>100</v>
      </c>
      <c r="H56" s="32">
        <f>(0+100000000+0+0)/$C$56*100</f>
        <v>100</v>
      </c>
      <c r="I56" s="57">
        <f>78000000+3870000</f>
        <v>81870000</v>
      </c>
      <c r="J56" s="57">
        <v>0</v>
      </c>
      <c r="K56" s="57">
        <f t="shared" si="31"/>
        <v>81870000</v>
      </c>
      <c r="L56" s="32">
        <f t="shared" si="32"/>
        <v>81.87</v>
      </c>
      <c r="M56" s="132">
        <v>100</v>
      </c>
      <c r="N56" s="32">
        <f>L56*D56/100</f>
        <v>9.0194998347471633E-2</v>
      </c>
      <c r="O56" s="32">
        <f>M56*D56/100</f>
        <v>0.11016855789357717</v>
      </c>
      <c r="P56" s="50"/>
      <c r="Q56" s="38"/>
      <c r="R56" s="38">
        <f t="shared" si="33"/>
        <v>0.11016855789357717</v>
      </c>
      <c r="S56" s="38">
        <f t="shared" si="34"/>
        <v>0.11016855789357717</v>
      </c>
    </row>
    <row r="57" spans="1:29" ht="10.5" customHeight="1">
      <c r="A57" s="9"/>
      <c r="B57" s="55" t="s">
        <v>23</v>
      </c>
      <c r="C57" s="118"/>
      <c r="D57" s="32"/>
      <c r="E57" s="32"/>
      <c r="F57" s="32"/>
      <c r="G57" s="32"/>
      <c r="H57" s="32"/>
      <c r="I57" s="109"/>
      <c r="J57" s="57"/>
      <c r="K57" s="57"/>
      <c r="L57" s="32"/>
      <c r="M57" s="32"/>
      <c r="N57" s="32"/>
      <c r="O57" s="32"/>
      <c r="P57" s="50"/>
      <c r="Q57" s="38"/>
      <c r="R57" s="38"/>
      <c r="S57" s="38"/>
    </row>
    <row r="58" spans="1:29" ht="22.5" customHeight="1">
      <c r="A58" s="8"/>
      <c r="B58" s="10" t="s">
        <v>44</v>
      </c>
      <c r="C58" s="56">
        <f>SUM(C59:C67)</f>
        <v>5300000000</v>
      </c>
      <c r="D58" s="126">
        <f>C58/$C$15*100</f>
        <v>3.0867792661619107</v>
      </c>
      <c r="E58" s="126">
        <f>(733038500)/$C$58*100</f>
        <v>13.830915094339622</v>
      </c>
      <c r="F58" s="126">
        <f>(733038500+2159261333)/$C$58*100</f>
        <v>54.571694962264147</v>
      </c>
      <c r="G58" s="126">
        <f>(733038500+2159261333+1827960834)/$C$58*100</f>
        <v>89.061522018867919</v>
      </c>
      <c r="H58" s="126">
        <f>(733038500+2159261333+1827960834+579739333)/$C$58*100</f>
        <v>100</v>
      </c>
      <c r="I58" s="127">
        <f>SUM(I59:I67)</f>
        <v>1582967681</v>
      </c>
      <c r="J58" s="127">
        <f>SUM(J59:J67)</f>
        <v>214103635</v>
      </c>
      <c r="K58" s="127">
        <f>SUM(K59:K67)</f>
        <v>1797071316</v>
      </c>
      <c r="L58" s="126">
        <f>K58/C58*100</f>
        <v>33.907005962264151</v>
      </c>
      <c r="M58" s="126">
        <f>S58</f>
        <v>57.523679245283013</v>
      </c>
      <c r="N58" s="126">
        <f>L58*D58/100</f>
        <v>1.0466344298194528</v>
      </c>
      <c r="O58" s="126">
        <f>M58*D58/100</f>
        <v>1.7756290040768783</v>
      </c>
      <c r="P58" s="13" t="s">
        <v>100</v>
      </c>
      <c r="Q58" s="27"/>
      <c r="R58" s="38"/>
      <c r="S58" s="58">
        <f>SUM(S59:S67)</f>
        <v>57.523679245283013</v>
      </c>
      <c r="T58" s="59">
        <f>C58/$C$10*100</f>
        <v>3.083783039571482</v>
      </c>
      <c r="U58" s="59">
        <f>M58*T58/100</f>
        <v>1.7739054643035381</v>
      </c>
    </row>
    <row r="59" spans="1:29" ht="16.5" customHeight="1">
      <c r="A59" s="53" t="s">
        <v>76</v>
      </c>
      <c r="B59" s="28" t="s">
        <v>45</v>
      </c>
      <c r="C59" s="29">
        <v>39150000</v>
      </c>
      <c r="D59" s="32">
        <f>C59/$C$58*100</f>
        <v>0.73867924528301887</v>
      </c>
      <c r="E59" s="32">
        <f>(0)/$C$59*100</f>
        <v>0</v>
      </c>
      <c r="F59" s="32">
        <f>(0+19775000)/$C$59*100</f>
        <v>50.510855683269476</v>
      </c>
      <c r="G59" s="32">
        <f>(0+19775000+3525000)/$C$59*100</f>
        <v>59.514687100893994</v>
      </c>
      <c r="H59" s="32">
        <f>(0+19775000+3525000+15850000)/$C$59*100</f>
        <v>100</v>
      </c>
      <c r="I59" s="57">
        <v>19587000</v>
      </c>
      <c r="J59" s="57">
        <v>0</v>
      </c>
      <c r="K59" s="57">
        <f t="shared" ref="K59:K67" si="42">I59+J59</f>
        <v>19587000</v>
      </c>
      <c r="L59" s="32">
        <f t="shared" ref="L59:L67" si="43">K59/C59*100</f>
        <v>50.030651340996165</v>
      </c>
      <c r="M59" s="32">
        <v>70</v>
      </c>
      <c r="N59" s="32">
        <f>L59*D59/100</f>
        <v>0.36956603773584901</v>
      </c>
      <c r="O59" s="32">
        <f>M59*D59/100</f>
        <v>0.51707547169811319</v>
      </c>
      <c r="P59" s="50"/>
      <c r="Q59" s="38"/>
      <c r="R59" s="38">
        <f t="shared" ref="R59:R67" si="44">C59/$C$58*100</f>
        <v>0.73867924528301887</v>
      </c>
      <c r="S59" s="38">
        <f t="shared" ref="S59:S67" si="45">M59*R59/100</f>
        <v>0.51707547169811319</v>
      </c>
    </row>
    <row r="60" spans="1:29" ht="16.5" customHeight="1">
      <c r="A60" s="53" t="s">
        <v>77</v>
      </c>
      <c r="B60" s="28" t="s">
        <v>46</v>
      </c>
      <c r="C60" s="29">
        <v>15850000</v>
      </c>
      <c r="D60" s="32">
        <f t="shared" ref="D60:D67" si="46">C60/$C$58*100</f>
        <v>0.29905660377358489</v>
      </c>
      <c r="E60" s="32">
        <f>(27150000-11300000)/$C$60*100</f>
        <v>100</v>
      </c>
      <c r="F60" s="32">
        <f>(27150000-11300000)/$C$60*100</f>
        <v>100</v>
      </c>
      <c r="G60" s="32">
        <f>(15850000+0)/$C$60*100</f>
        <v>100</v>
      </c>
      <c r="H60" s="32">
        <f>(15850000+0)/$C$60*100</f>
        <v>100</v>
      </c>
      <c r="I60" s="57">
        <v>9551500</v>
      </c>
      <c r="J60" s="57">
        <v>0</v>
      </c>
      <c r="K60" s="57">
        <f t="shared" si="42"/>
        <v>9551500</v>
      </c>
      <c r="L60" s="32">
        <f t="shared" si="43"/>
        <v>60.261829652996845</v>
      </c>
      <c r="M60" s="32">
        <v>100</v>
      </c>
      <c r="N60" s="32">
        <f t="shared" ref="N60" si="47">L60*D60/100</f>
        <v>0.18021698113207546</v>
      </c>
      <c r="O60" s="32">
        <f t="shared" ref="O60" si="48">M60*D60/100</f>
        <v>0.29905660377358489</v>
      </c>
      <c r="P60" s="50"/>
      <c r="Q60" s="38"/>
      <c r="R60" s="38">
        <f t="shared" si="44"/>
        <v>0.29905660377358489</v>
      </c>
      <c r="S60" s="38">
        <f t="shared" si="45"/>
        <v>0.29905660377358489</v>
      </c>
      <c r="X60" t="s">
        <v>155</v>
      </c>
    </row>
    <row r="61" spans="1:29" ht="31.5" customHeight="1">
      <c r="A61" s="53" t="s">
        <v>78</v>
      </c>
      <c r="B61" s="28" t="s">
        <v>47</v>
      </c>
      <c r="C61" s="133">
        <v>400000000</v>
      </c>
      <c r="D61" s="60">
        <f t="shared" si="46"/>
        <v>7.5471698113207548</v>
      </c>
      <c r="E61" s="143">
        <f>(95000000)/$C$61*100</f>
        <v>23.75</v>
      </c>
      <c r="F61" s="143">
        <f>(95000000+155000000)/$C$61*100</f>
        <v>62.5</v>
      </c>
      <c r="G61" s="143">
        <f>(95000000+155000000+125000000)/$C$61*100</f>
        <v>93.75</v>
      </c>
      <c r="H61" s="143">
        <f>(95000000+155000000+125000000+25000000)/$C$61*100</f>
        <v>100</v>
      </c>
      <c r="I61" s="134">
        <f>236053700+45490925</f>
        <v>281544625</v>
      </c>
      <c r="J61" s="134">
        <v>0</v>
      </c>
      <c r="K61" s="134">
        <f t="shared" si="42"/>
        <v>281544625</v>
      </c>
      <c r="L61" s="143">
        <f t="shared" si="43"/>
        <v>70.386156249999999</v>
      </c>
      <c r="M61" s="143">
        <v>85</v>
      </c>
      <c r="N61" s="32">
        <f>L61*D61/100</f>
        <v>5.3121627358490571</v>
      </c>
      <c r="O61" s="32">
        <f>M61*D61/100</f>
        <v>6.4150943396226419</v>
      </c>
      <c r="P61" s="61"/>
      <c r="Q61" s="38"/>
      <c r="R61" s="38">
        <f t="shared" si="44"/>
        <v>7.5471698113207548</v>
      </c>
      <c r="S61" s="38">
        <f t="shared" si="45"/>
        <v>6.4150943396226419</v>
      </c>
      <c r="X61" t="s">
        <v>156</v>
      </c>
      <c r="Y61">
        <v>60000000</v>
      </c>
      <c r="Z61" s="62">
        <f>Y61/$C$63</f>
        <v>0.06</v>
      </c>
      <c r="AA61" s="63">
        <f>Z61</f>
        <v>0.06</v>
      </c>
      <c r="AB61" s="63">
        <f>AA61</f>
        <v>0.06</v>
      </c>
      <c r="AC61" s="63">
        <f>Z61</f>
        <v>0.06</v>
      </c>
    </row>
    <row r="62" spans="1:29" ht="35.25" customHeight="1">
      <c r="A62" s="42" t="s">
        <v>79</v>
      </c>
      <c r="B62" s="28" t="s">
        <v>168</v>
      </c>
      <c r="C62" s="133">
        <v>2850000000</v>
      </c>
      <c r="D62" s="60">
        <f t="shared" si="46"/>
        <v>53.773584905660378</v>
      </c>
      <c r="E62" s="143">
        <f>(250000000)/$C$62*100</f>
        <v>8.7719298245614024</v>
      </c>
      <c r="F62" s="143">
        <f>(250000000+1258316000)/$C$62*100</f>
        <v>52.923368421052629</v>
      </c>
      <c r="G62" s="143">
        <f>(250000000+1258316000+841684000)/$C$62*100</f>
        <v>82.456140350877192</v>
      </c>
      <c r="H62" s="143">
        <f>(250000000+1258316000+841684000+500000000)/$C$62*100</f>
        <v>100</v>
      </c>
      <c r="I62" s="134">
        <v>531149000</v>
      </c>
      <c r="J62" s="134">
        <v>0</v>
      </c>
      <c r="K62" s="134">
        <f t="shared" si="42"/>
        <v>531149000</v>
      </c>
      <c r="L62" s="143">
        <f t="shared" si="43"/>
        <v>18.636807017543859</v>
      </c>
      <c r="M62" s="143">
        <v>45</v>
      </c>
      <c r="N62" s="32">
        <f t="shared" ref="N62" si="49">L62*D62/100</f>
        <v>10.021679245283019</v>
      </c>
      <c r="O62" s="32">
        <f t="shared" ref="O62" si="50">M62*D62/100</f>
        <v>24.19811320754717</v>
      </c>
      <c r="P62" s="50"/>
      <c r="Q62" s="38"/>
      <c r="R62" s="38">
        <f t="shared" si="44"/>
        <v>53.773584905660378</v>
      </c>
      <c r="S62" s="38">
        <f t="shared" si="45"/>
        <v>24.19811320754717</v>
      </c>
      <c r="X62" t="s">
        <v>157</v>
      </c>
      <c r="Y62">
        <v>90280000</v>
      </c>
      <c r="Z62" s="62">
        <f t="shared" ref="Z62:Z65" si="51">Y62/$C$63</f>
        <v>9.0279999999999999E-2</v>
      </c>
      <c r="AA62" s="63">
        <f>Z62</f>
        <v>9.0279999999999999E-2</v>
      </c>
      <c r="AB62" s="63">
        <f>AA62</f>
        <v>9.0279999999999999E-2</v>
      </c>
      <c r="AC62" s="63">
        <f>Z62</f>
        <v>9.0279999999999999E-2</v>
      </c>
    </row>
    <row r="63" spans="1:29" ht="21" customHeight="1">
      <c r="A63" s="42" t="s">
        <v>80</v>
      </c>
      <c r="B63" s="28" t="s">
        <v>155</v>
      </c>
      <c r="C63" s="29">
        <v>1000000000</v>
      </c>
      <c r="D63" s="32">
        <f t="shared" si="46"/>
        <v>18.867924528301888</v>
      </c>
      <c r="E63" s="32">
        <f>(352475000)/$C$63*100</f>
        <v>35.247499999999995</v>
      </c>
      <c r="F63" s="32">
        <f>(352475000+505673333)/$C$63*100</f>
        <v>85.814833300000004</v>
      </c>
      <c r="G63" s="32">
        <f>(352475000+505673333+102962334)/$C$63*100</f>
        <v>96.111066700000009</v>
      </c>
      <c r="H63" s="32">
        <f>(352475000+505673333+102962334+38889333)/$C$63*100</f>
        <v>100</v>
      </c>
      <c r="I63" s="57">
        <v>484632481</v>
      </c>
      <c r="J63" s="57">
        <v>187589635</v>
      </c>
      <c r="K63" s="57">
        <f t="shared" si="42"/>
        <v>672222116</v>
      </c>
      <c r="L63" s="32">
        <f t="shared" si="43"/>
        <v>67.222211600000009</v>
      </c>
      <c r="M63" s="32">
        <v>70</v>
      </c>
      <c r="N63" s="32">
        <f>L63*D63/100</f>
        <v>12.683436150943399</v>
      </c>
      <c r="O63" s="32">
        <f>M63*D63/100</f>
        <v>13.20754716981132</v>
      </c>
      <c r="P63" s="50"/>
      <c r="Q63" s="38"/>
      <c r="R63" s="38">
        <f t="shared" si="44"/>
        <v>18.867924528301888</v>
      </c>
      <c r="S63" s="38">
        <f t="shared" si="45"/>
        <v>13.20754716981132</v>
      </c>
      <c r="X63" t="s">
        <v>158</v>
      </c>
      <c r="Y63">
        <v>421065500</v>
      </c>
      <c r="Z63" s="62">
        <f t="shared" si="51"/>
        <v>0.42106549999999998</v>
      </c>
      <c r="AA63" s="62">
        <f>Z63*0.7</f>
        <v>0.29474584999999998</v>
      </c>
      <c r="AB63" s="63">
        <f>Z63*0.85</f>
        <v>0.35790567499999998</v>
      </c>
      <c r="AC63" s="63">
        <f>Z63</f>
        <v>0.42106549999999998</v>
      </c>
    </row>
    <row r="64" spans="1:29" ht="18.75" customHeight="1">
      <c r="A64" s="42" t="s">
        <v>80</v>
      </c>
      <c r="B64" s="28" t="s">
        <v>48</v>
      </c>
      <c r="C64" s="29">
        <v>250000000</v>
      </c>
      <c r="D64" s="32">
        <f t="shared" si="46"/>
        <v>4.716981132075472</v>
      </c>
      <c r="E64" s="32">
        <f>(8413500)/$C$64*100</f>
        <v>3.3654000000000002</v>
      </c>
      <c r="F64" s="32">
        <f>(8413500+132768000)/$C$64*100</f>
        <v>56.472599999999993</v>
      </c>
      <c r="G64" s="32">
        <f>(8413500+132768000+18818500)/$C$64*100</f>
        <v>64</v>
      </c>
      <c r="H64" s="32">
        <f>(8413500+132768000+18818500+90000000)/$C$64*100</f>
        <v>100</v>
      </c>
      <c r="I64" s="57">
        <v>70002475</v>
      </c>
      <c r="J64" s="57">
        <v>26514000</v>
      </c>
      <c r="K64" s="57">
        <f t="shared" si="42"/>
        <v>96516475</v>
      </c>
      <c r="L64" s="32">
        <f t="shared" si="43"/>
        <v>38.606590000000004</v>
      </c>
      <c r="M64" s="32">
        <v>75</v>
      </c>
      <c r="N64" s="32">
        <f t="shared" ref="N64" si="52">L64*D64/100</f>
        <v>1.8210655660377362</v>
      </c>
      <c r="O64" s="32">
        <f t="shared" ref="O64" si="53">M64*D64/100</f>
        <v>3.5377358490566042</v>
      </c>
      <c r="P64" s="50"/>
      <c r="Q64" s="38"/>
      <c r="R64" s="38">
        <f t="shared" si="44"/>
        <v>4.716981132075472</v>
      </c>
      <c r="S64" s="38">
        <f t="shared" si="45"/>
        <v>3.5377358490566042</v>
      </c>
      <c r="X64" t="s">
        <v>159</v>
      </c>
      <c r="Y64">
        <v>10000000</v>
      </c>
      <c r="Z64" s="62">
        <f t="shared" si="51"/>
        <v>0.01</v>
      </c>
    </row>
    <row r="65" spans="1:29" ht="33" customHeight="1">
      <c r="A65" s="53" t="s">
        <v>81</v>
      </c>
      <c r="B65" s="28" t="s">
        <v>169</v>
      </c>
      <c r="C65" s="29">
        <v>450000000</v>
      </c>
      <c r="D65" s="32">
        <f t="shared" si="46"/>
        <v>8.4905660377358494</v>
      </c>
      <c r="E65" s="32">
        <f>(0)/$C$65*100</f>
        <v>0</v>
      </c>
      <c r="F65" s="32">
        <f>(0)/$C$65*100</f>
        <v>0</v>
      </c>
      <c r="G65" s="32">
        <f>(0+450000000)/$C$65*100</f>
        <v>100</v>
      </c>
      <c r="H65" s="32">
        <f>(0+450000000)/$C$65*100</f>
        <v>100</v>
      </c>
      <c r="I65" s="57">
        <v>186500600</v>
      </c>
      <c r="J65" s="57">
        <v>0</v>
      </c>
      <c r="K65" s="57">
        <f t="shared" si="42"/>
        <v>186500600</v>
      </c>
      <c r="L65" s="32">
        <f t="shared" si="43"/>
        <v>41.444577777777781</v>
      </c>
      <c r="M65" s="32">
        <v>65</v>
      </c>
      <c r="N65" s="32">
        <f>L65*D65/100</f>
        <v>3.5188792452830193</v>
      </c>
      <c r="O65" s="32">
        <f>M65*D65/100</f>
        <v>5.518867924528303</v>
      </c>
      <c r="P65" s="50"/>
      <c r="Q65" s="38"/>
      <c r="R65" s="38">
        <f t="shared" si="44"/>
        <v>8.4905660377358494</v>
      </c>
      <c r="S65" s="38">
        <f t="shared" si="45"/>
        <v>5.518867924528303</v>
      </c>
      <c r="X65" t="s">
        <v>160</v>
      </c>
      <c r="Y65" s="64">
        <f>C63-(Y64+Y63+Y62+Y61)</f>
        <v>418654500</v>
      </c>
      <c r="Z65" s="62">
        <f t="shared" si="51"/>
        <v>0.41865449999999998</v>
      </c>
      <c r="AA65" s="63">
        <f>Z65</f>
        <v>0.41865449999999998</v>
      </c>
      <c r="AB65" s="63">
        <f>AA65</f>
        <v>0.41865449999999998</v>
      </c>
      <c r="AC65" s="63">
        <f>Z65</f>
        <v>0.41865449999999998</v>
      </c>
    </row>
    <row r="66" spans="1:29" ht="16.5" customHeight="1">
      <c r="A66" s="53" t="s">
        <v>148</v>
      </c>
      <c r="B66" s="26" t="s">
        <v>170</v>
      </c>
      <c r="C66" s="135">
        <v>250000000</v>
      </c>
      <c r="D66" s="32">
        <f t="shared" si="46"/>
        <v>4.716981132075472</v>
      </c>
      <c r="E66" s="32">
        <f>(0)/$C$66*100</f>
        <v>0</v>
      </c>
      <c r="F66" s="32">
        <f>(0)/$C$66*100</f>
        <v>0</v>
      </c>
      <c r="G66" s="32">
        <f>(0+250000000)/$C$66*100</f>
        <v>100</v>
      </c>
      <c r="H66" s="32">
        <f>(0+250000000)/$C$66*100</f>
        <v>100</v>
      </c>
      <c r="I66" s="57">
        <v>0</v>
      </c>
      <c r="J66" s="57">
        <v>0</v>
      </c>
      <c r="K66" s="57">
        <f t="shared" si="42"/>
        <v>0</v>
      </c>
      <c r="L66" s="32">
        <f t="shared" si="43"/>
        <v>0</v>
      </c>
      <c r="M66" s="32">
        <v>65</v>
      </c>
      <c r="N66" s="32">
        <f>L66*D66/100</f>
        <v>0</v>
      </c>
      <c r="O66" s="32">
        <f t="shared" ref="O66:O67" si="54">M66*D66/100</f>
        <v>3.0660377358490569</v>
      </c>
      <c r="P66" s="50"/>
      <c r="Q66" s="38"/>
      <c r="R66" s="38">
        <f t="shared" si="44"/>
        <v>4.716981132075472</v>
      </c>
      <c r="S66" s="38">
        <f t="shared" si="45"/>
        <v>3.0660377358490569</v>
      </c>
      <c r="Z66" s="63">
        <f>SUM(Z61:Z65)</f>
        <v>1</v>
      </c>
      <c r="AA66" s="63">
        <f>SUM(AA61:AA65)</f>
        <v>0.86368034999999987</v>
      </c>
      <c r="AB66" s="63">
        <f>SUM(AB61:AB65)</f>
        <v>0.92684017499999993</v>
      </c>
      <c r="AC66" s="63">
        <f>SUM(AC61:AC65)</f>
        <v>0.99</v>
      </c>
    </row>
    <row r="67" spans="1:29" ht="21.75" customHeight="1">
      <c r="A67" s="53" t="s">
        <v>149</v>
      </c>
      <c r="B67" s="26" t="s">
        <v>171</v>
      </c>
      <c r="C67" s="135">
        <v>45000000</v>
      </c>
      <c r="D67" s="32">
        <f t="shared" si="46"/>
        <v>0.84905660377358494</v>
      </c>
      <c r="E67" s="32">
        <f>(0)/$C$67*100</f>
        <v>0</v>
      </c>
      <c r="F67" s="32">
        <f>(0)/$C$67*100</f>
        <v>0</v>
      </c>
      <c r="G67" s="32">
        <f>(45000000)/$C$67*100</f>
        <v>100</v>
      </c>
      <c r="H67" s="32">
        <f>(45000000)/$C$67*100</f>
        <v>100</v>
      </c>
      <c r="I67" s="57">
        <v>0</v>
      </c>
      <c r="J67" s="57">
        <v>0</v>
      </c>
      <c r="K67" s="57">
        <f t="shared" si="42"/>
        <v>0</v>
      </c>
      <c r="L67" s="32">
        <f t="shared" si="43"/>
        <v>0</v>
      </c>
      <c r="M67" s="32">
        <v>90</v>
      </c>
      <c r="N67" s="32">
        <f>L67*D67/100</f>
        <v>0</v>
      </c>
      <c r="O67" s="32">
        <f t="shared" si="54"/>
        <v>0.76415094339622636</v>
      </c>
      <c r="P67" s="50"/>
      <c r="Q67" s="38"/>
      <c r="R67" s="38">
        <f t="shared" si="44"/>
        <v>0.84905660377358494</v>
      </c>
      <c r="S67" s="38">
        <f t="shared" si="45"/>
        <v>0.76415094339622636</v>
      </c>
    </row>
    <row r="68" spans="1:29" ht="7.5" customHeight="1">
      <c r="A68" s="65"/>
      <c r="B68" s="136"/>
      <c r="C68" s="137"/>
      <c r="D68" s="32"/>
      <c r="E68" s="32"/>
      <c r="F68" s="32"/>
      <c r="G68" s="32"/>
      <c r="H68" s="32"/>
      <c r="I68" s="109"/>
      <c r="J68" s="57"/>
      <c r="K68" s="57"/>
      <c r="L68" s="32"/>
      <c r="M68" s="32"/>
      <c r="N68" s="32"/>
      <c r="O68" s="32"/>
      <c r="P68" s="50"/>
      <c r="Q68" s="38"/>
      <c r="R68" s="38"/>
      <c r="S68" s="38"/>
    </row>
    <row r="69" spans="1:29" ht="21.75" customHeight="1">
      <c r="A69" s="8"/>
      <c r="B69" s="10" t="s">
        <v>49</v>
      </c>
      <c r="C69" s="56">
        <f>SUM(C70:C93)</f>
        <v>28930000000</v>
      </c>
      <c r="D69" s="126">
        <f>C69/$C$15*100</f>
        <v>16.849155503785674</v>
      </c>
      <c r="E69" s="126">
        <f>(3593176200)/$C$69*100</f>
        <v>12.420242654683719</v>
      </c>
      <c r="F69" s="126">
        <f>(3593176200+1614188000)/$C$69*100</f>
        <v>17.999876253024542</v>
      </c>
      <c r="G69" s="126">
        <f>(3474974200+1730390000+13990049900)/$C$69*100</f>
        <v>66.351241272035949</v>
      </c>
      <c r="H69" s="126">
        <f>(3474974200+1730390000+13990049900+9734585900)/$C$69*100</f>
        <v>100</v>
      </c>
      <c r="I69" s="127">
        <f>SUM(I70:I93)</f>
        <v>6780563469</v>
      </c>
      <c r="J69" s="127">
        <f>SUM(J70:J93)</f>
        <v>1205838052</v>
      </c>
      <c r="K69" s="127">
        <f>SUM(K70:K93)</f>
        <v>7986401521</v>
      </c>
      <c r="L69" s="126">
        <f>K69/C69*100</f>
        <v>27.605950642931216</v>
      </c>
      <c r="M69" s="126">
        <f>S69</f>
        <v>59.421100933287249</v>
      </c>
      <c r="N69" s="126">
        <f>L69*D69/100</f>
        <v>4.6513695521258018</v>
      </c>
      <c r="O69" s="126">
        <f>M69*D69/100</f>
        <v>10.011953698311009</v>
      </c>
      <c r="P69" s="13" t="s">
        <v>100</v>
      </c>
      <c r="Q69" s="20"/>
      <c r="R69" s="38"/>
      <c r="S69" s="48">
        <f>SUM(S70:S93)</f>
        <v>59.421100933287249</v>
      </c>
      <c r="T69" s="38">
        <f>C69/$C$10*100</f>
        <v>16.832800629208108</v>
      </c>
      <c r="U69" s="38">
        <f>M69*T69/100</f>
        <v>10.002235451780761</v>
      </c>
    </row>
    <row r="70" spans="1:29" ht="33" customHeight="1">
      <c r="A70" s="42" t="s">
        <v>82</v>
      </c>
      <c r="B70" s="25" t="s">
        <v>50</v>
      </c>
      <c r="C70" s="29">
        <v>30000000</v>
      </c>
      <c r="D70" s="32">
        <f>C70/$C$69*100</f>
        <v>0.10369858278603526</v>
      </c>
      <c r="E70" s="32">
        <f>(0)/$C$70*100</f>
        <v>0</v>
      </c>
      <c r="F70" s="32">
        <f>(0+21360000)/$C$70*100</f>
        <v>71.2</v>
      </c>
      <c r="G70" s="32">
        <f>(0+21360000+8640000)/$C$70*100</f>
        <v>100</v>
      </c>
      <c r="H70" s="32">
        <f>(0+21360000+8640000)/$C$70*100</f>
        <v>100</v>
      </c>
      <c r="I70" s="57">
        <v>0</v>
      </c>
      <c r="J70" s="57">
        <v>26625000</v>
      </c>
      <c r="K70" s="57">
        <f t="shared" ref="K70:K93" si="55">I70+J70</f>
        <v>26625000</v>
      </c>
      <c r="L70" s="32">
        <f t="shared" ref="L70:L93" si="56">K70/C70*100</f>
        <v>88.75</v>
      </c>
      <c r="M70" s="32">
        <v>90.5</v>
      </c>
      <c r="N70" s="32">
        <f>L70*D70/100</f>
        <v>9.2032492222606288E-2</v>
      </c>
      <c r="O70" s="32">
        <f>M70*D70/100</f>
        <v>9.3847217421361914E-2</v>
      </c>
      <c r="P70" s="50"/>
      <c r="Q70" s="38"/>
      <c r="R70" s="38">
        <f t="shared" ref="R70:R93" si="57">C70/$C$69*100</f>
        <v>0.10369858278603526</v>
      </c>
      <c r="S70" s="38">
        <f t="shared" ref="S70:S93" si="58">M70*R70/100</f>
        <v>9.3847217421361914E-2</v>
      </c>
    </row>
    <row r="71" spans="1:29" ht="32.25" customHeight="1">
      <c r="A71" s="42" t="s">
        <v>83</v>
      </c>
      <c r="B71" s="25" t="s">
        <v>172</v>
      </c>
      <c r="C71" s="29">
        <v>300000000</v>
      </c>
      <c r="D71" s="32">
        <f t="shared" ref="D71:D93" si="59">C71/$C$69*100</f>
        <v>1.0369858278603528</v>
      </c>
      <c r="E71" s="32">
        <f>(300000000)/$C$71*100</f>
        <v>100</v>
      </c>
      <c r="F71" s="32">
        <f>(300000000)/$C$71*100</f>
        <v>100</v>
      </c>
      <c r="G71" s="32">
        <f>(300000000)/$C$71*100</f>
        <v>100</v>
      </c>
      <c r="H71" s="32">
        <f>(300000000)/$C$71*100</f>
        <v>100</v>
      </c>
      <c r="I71" s="57">
        <f>247560000+1885000</f>
        <v>249445000</v>
      </c>
      <c r="J71" s="57">
        <v>0</v>
      </c>
      <c r="K71" s="57">
        <f t="shared" si="55"/>
        <v>249445000</v>
      </c>
      <c r="L71" s="32">
        <f t="shared" si="56"/>
        <v>83.148333333333341</v>
      </c>
      <c r="M71" s="32">
        <v>100</v>
      </c>
      <c r="N71" s="32">
        <f t="shared" ref="N71" si="60">L71*D71/100</f>
        <v>0.86223643276875239</v>
      </c>
      <c r="O71" s="32">
        <f t="shared" ref="O71" si="61">M71*D71/100</f>
        <v>1.0369858278603528</v>
      </c>
      <c r="P71" s="50"/>
      <c r="Q71" s="38"/>
      <c r="R71" s="38">
        <f t="shared" si="57"/>
        <v>1.0369858278603528</v>
      </c>
      <c r="S71" s="38">
        <f t="shared" si="58"/>
        <v>1.0369858278603528</v>
      </c>
    </row>
    <row r="72" spans="1:29" ht="21.75" customHeight="1">
      <c r="A72" s="42" t="s">
        <v>84</v>
      </c>
      <c r="B72" s="25" t="s">
        <v>51</v>
      </c>
      <c r="C72" s="29">
        <v>350000000</v>
      </c>
      <c r="D72" s="32">
        <f t="shared" si="59"/>
        <v>1.2098167991704112</v>
      </c>
      <c r="E72" s="32">
        <f>(100000000)/$C$72*100</f>
        <v>28.571428571428569</v>
      </c>
      <c r="F72" s="32">
        <f>(100000000+100000000)/$C$72*100</f>
        <v>57.142857142857139</v>
      </c>
      <c r="G72" s="32">
        <f>(100000000+100000000+100000000)/$C$72*100</f>
        <v>85.714285714285708</v>
      </c>
      <c r="H72" s="32">
        <f>(100000000+100000000+100000000+50000000)/$C$72*100</f>
        <v>100</v>
      </c>
      <c r="I72" s="57">
        <v>165550100</v>
      </c>
      <c r="J72" s="57">
        <v>11973004</v>
      </c>
      <c r="K72" s="57">
        <f t="shared" si="55"/>
        <v>177523104</v>
      </c>
      <c r="L72" s="32">
        <f t="shared" si="56"/>
        <v>50.720886857142858</v>
      </c>
      <c r="M72" s="32">
        <v>73.75</v>
      </c>
      <c r="N72" s="32">
        <f>L72*D72/100</f>
        <v>0.61362980988593152</v>
      </c>
      <c r="O72" s="32">
        <f>M72*D72/100</f>
        <v>0.89223988938817822</v>
      </c>
      <c r="P72" s="50"/>
      <c r="Q72" s="38"/>
      <c r="R72" s="38">
        <f t="shared" si="57"/>
        <v>1.2098167991704112</v>
      </c>
      <c r="S72" s="38">
        <f t="shared" si="58"/>
        <v>0.89223988938817822</v>
      </c>
    </row>
    <row r="73" spans="1:29" ht="21.75" customHeight="1">
      <c r="A73" s="42" t="s">
        <v>85</v>
      </c>
      <c r="B73" s="28" t="s">
        <v>52</v>
      </c>
      <c r="C73" s="29">
        <v>350000000</v>
      </c>
      <c r="D73" s="32">
        <f t="shared" si="59"/>
        <v>1.2098167991704112</v>
      </c>
      <c r="E73" s="32">
        <f>(331632000)/$C$73*100</f>
        <v>94.75200000000001</v>
      </c>
      <c r="F73" s="32">
        <f>(331632000+6000000)/$C$73*100</f>
        <v>96.466285714285718</v>
      </c>
      <c r="G73" s="32">
        <f>(331632000+6000000+5000000)/$C$73*100</f>
        <v>97.894857142857134</v>
      </c>
      <c r="H73" s="32">
        <f>(331632000+6000000+5000000+7368000)/$C$73*100</f>
        <v>100</v>
      </c>
      <c r="I73" s="57">
        <f>321689280+9955100</f>
        <v>331644380</v>
      </c>
      <c r="J73" s="105">
        <v>722800</v>
      </c>
      <c r="K73" s="57">
        <f t="shared" si="55"/>
        <v>332367180</v>
      </c>
      <c r="L73" s="32">
        <f t="shared" si="56"/>
        <v>94.962051428571428</v>
      </c>
      <c r="M73" s="32">
        <v>98.71</v>
      </c>
      <c r="N73" s="32">
        <f t="shared" ref="N73" si="62">L73*D73/100</f>
        <v>1.1488668510197027</v>
      </c>
      <c r="O73" s="32">
        <f t="shared" ref="O73" si="63">M73*D73/100</f>
        <v>1.1942101624611128</v>
      </c>
      <c r="P73" s="50"/>
      <c r="Q73" s="38"/>
      <c r="R73" s="38">
        <f t="shared" si="57"/>
        <v>1.2098167991704112</v>
      </c>
      <c r="S73" s="38">
        <f t="shared" si="58"/>
        <v>1.1942101624611128</v>
      </c>
    </row>
    <row r="74" spans="1:29" ht="21" customHeight="1">
      <c r="A74" s="42" t="s">
        <v>86</v>
      </c>
      <c r="B74" s="25" t="s">
        <v>53</v>
      </c>
      <c r="C74" s="29">
        <v>250000000</v>
      </c>
      <c r="D74" s="32">
        <f t="shared" si="59"/>
        <v>0.86415485655029389</v>
      </c>
      <c r="E74" s="32">
        <f>(70248000)/$C$74*100</f>
        <v>28.099200000000003</v>
      </c>
      <c r="F74" s="32">
        <f>(70248000+112648000)/$C$74*100</f>
        <v>73.1584</v>
      </c>
      <c r="G74" s="32">
        <f>(70248000+112648000+59648000)/$C$74*100</f>
        <v>97.017600000000002</v>
      </c>
      <c r="H74" s="32">
        <f>(70248000+112648000+59648000+7456000)/$C$74*100</f>
        <v>100</v>
      </c>
      <c r="I74" s="57">
        <v>60053700</v>
      </c>
      <c r="J74" s="57">
        <v>7818000</v>
      </c>
      <c r="K74" s="57">
        <f t="shared" si="55"/>
        <v>67871700</v>
      </c>
      <c r="L74" s="32">
        <f t="shared" si="56"/>
        <v>27.148679999999999</v>
      </c>
      <c r="M74" s="32">
        <v>73.86</v>
      </c>
      <c r="N74" s="32">
        <f>L74*D74/100</f>
        <v>0.23460663670929832</v>
      </c>
      <c r="O74" s="32">
        <f>M74*D74/100</f>
        <v>0.63826477704804707</v>
      </c>
      <c r="P74" s="50"/>
      <c r="Q74" s="38"/>
      <c r="R74" s="38">
        <f t="shared" si="57"/>
        <v>0.86415485655029389</v>
      </c>
      <c r="S74" s="38">
        <f t="shared" si="58"/>
        <v>0.63826477704804707</v>
      </c>
    </row>
    <row r="75" spans="1:29" ht="34.5" customHeight="1">
      <c r="A75" s="42" t="s">
        <v>87</v>
      </c>
      <c r="B75" s="25" t="s">
        <v>173</v>
      </c>
      <c r="C75" s="29">
        <v>700000000</v>
      </c>
      <c r="D75" s="32">
        <f t="shared" si="59"/>
        <v>2.4196335983408224</v>
      </c>
      <c r="E75" s="32">
        <f>(214337000)/$C$75*100</f>
        <v>30.61957142857143</v>
      </c>
      <c r="F75" s="32">
        <f>(214337000+216337000)/$C$75*100</f>
        <v>61.524857142857151</v>
      </c>
      <c r="G75" s="32">
        <f>(214337000+216337000+212337000)/$C$75*100</f>
        <v>91.858714285714285</v>
      </c>
      <c r="H75" s="32">
        <f>(214337000+216337000+212337000+56989000)/$C$75*100</f>
        <v>100</v>
      </c>
      <c r="I75" s="57">
        <v>420569000</v>
      </c>
      <c r="J75" s="105">
        <v>54877500</v>
      </c>
      <c r="K75" s="57">
        <f t="shared" si="55"/>
        <v>475446500</v>
      </c>
      <c r="L75" s="32">
        <f t="shared" si="56"/>
        <v>67.920928571428576</v>
      </c>
      <c r="M75" s="32">
        <v>83.85</v>
      </c>
      <c r="N75" s="32">
        <f t="shared" ref="N75" si="64">L75*D75/100</f>
        <v>1.6434376080193571</v>
      </c>
      <c r="O75" s="32">
        <f t="shared" ref="O75" si="65">M75*D75/100</f>
        <v>2.0288627722087793</v>
      </c>
      <c r="P75" s="50"/>
      <c r="Q75" s="38"/>
      <c r="R75" s="38">
        <f t="shared" si="57"/>
        <v>2.4196335983408224</v>
      </c>
      <c r="S75" s="38">
        <f t="shared" si="58"/>
        <v>2.0288627722087793</v>
      </c>
    </row>
    <row r="76" spans="1:29" ht="20.25" customHeight="1">
      <c r="A76" s="42" t="s">
        <v>88</v>
      </c>
      <c r="B76" s="25" t="s">
        <v>54</v>
      </c>
      <c r="C76" s="29">
        <v>300000000</v>
      </c>
      <c r="D76" s="32">
        <f t="shared" si="59"/>
        <v>1.0369858278603528</v>
      </c>
      <c r="E76" s="32">
        <f>(100000000)/$C$76*100</f>
        <v>33.333333333333329</v>
      </c>
      <c r="F76" s="32">
        <f>(100000000+98545000)/$C$76*100</f>
        <v>66.181666666666672</v>
      </c>
      <c r="G76" s="32">
        <f>(100000000+98545000+95635000)/$C$76*100</f>
        <v>98.06</v>
      </c>
      <c r="H76" s="32">
        <f>(100000000+98545000+95635000+5820000)/$C$76*100</f>
        <v>100</v>
      </c>
      <c r="I76" s="57">
        <v>115873670</v>
      </c>
      <c r="J76" s="57">
        <v>21385848</v>
      </c>
      <c r="K76" s="57">
        <f t="shared" si="55"/>
        <v>137259518</v>
      </c>
      <c r="L76" s="32">
        <f t="shared" si="56"/>
        <v>45.753172666666671</v>
      </c>
      <c r="M76" s="32">
        <v>72.56</v>
      </c>
      <c r="N76" s="32">
        <f>L76*D76/100</f>
        <v>0.47445391634980999</v>
      </c>
      <c r="O76" s="32">
        <f>M76*D76/100</f>
        <v>0.75243691669547208</v>
      </c>
      <c r="P76" s="50"/>
      <c r="Q76" s="38"/>
      <c r="R76" s="38">
        <f t="shared" si="57"/>
        <v>1.0369858278603528</v>
      </c>
      <c r="S76" s="38">
        <f t="shared" si="58"/>
        <v>0.75243691669547208</v>
      </c>
    </row>
    <row r="77" spans="1:29" ht="22.5" customHeight="1">
      <c r="A77" s="42" t="s">
        <v>89</v>
      </c>
      <c r="B77" s="25" t="s">
        <v>174</v>
      </c>
      <c r="C77" s="29">
        <v>100000000</v>
      </c>
      <c r="D77" s="32">
        <f t="shared" si="59"/>
        <v>0.34566194262011751</v>
      </c>
      <c r="E77" s="32">
        <f>(97420000)/$C$77*100</f>
        <v>97.42</v>
      </c>
      <c r="F77" s="32">
        <f>(97420000+2580000)/$C$77*100</f>
        <v>100</v>
      </c>
      <c r="G77" s="32">
        <f>(97420000+2580000)/$C$77*100</f>
        <v>100</v>
      </c>
      <c r="H77" s="32">
        <f>(97420000+2580000)/$C$77*100</f>
        <v>100</v>
      </c>
      <c r="I77" s="57">
        <f>91924250+1290000</f>
        <v>93214250</v>
      </c>
      <c r="J77" s="57">
        <v>0</v>
      </c>
      <c r="K77" s="57">
        <f t="shared" si="55"/>
        <v>93214250</v>
      </c>
      <c r="L77" s="32">
        <f t="shared" si="56"/>
        <v>93.214249999999993</v>
      </c>
      <c r="M77" s="32">
        <v>100</v>
      </c>
      <c r="N77" s="32">
        <f t="shared" ref="N77" si="66">L77*D77/100</f>
        <v>0.32220618734877282</v>
      </c>
      <c r="O77" s="32">
        <f t="shared" ref="O77" si="67">M77*D77/100</f>
        <v>0.34566194262011751</v>
      </c>
      <c r="P77" s="50"/>
      <c r="Q77" s="38"/>
      <c r="R77" s="38">
        <f t="shared" si="57"/>
        <v>0.34566194262011751</v>
      </c>
      <c r="S77" s="38">
        <f t="shared" si="58"/>
        <v>0.34566194262011751</v>
      </c>
    </row>
    <row r="78" spans="1:29" ht="21" customHeight="1">
      <c r="A78" s="42" t="s">
        <v>90</v>
      </c>
      <c r="B78" s="25" t="s">
        <v>55</v>
      </c>
      <c r="C78" s="29">
        <v>45000000</v>
      </c>
      <c r="D78" s="32">
        <f t="shared" si="59"/>
        <v>0.15554787417905289</v>
      </c>
      <c r="E78" s="32">
        <f>(0)/$C$78*100</f>
        <v>0</v>
      </c>
      <c r="F78" s="32">
        <f>(0+45000000)/$C$78*100</f>
        <v>100</v>
      </c>
      <c r="G78" s="32">
        <f>(0+45000000)/$C$78*100</f>
        <v>100</v>
      </c>
      <c r="H78" s="32">
        <f>(0+45000000)/$C$78*100</f>
        <v>100</v>
      </c>
      <c r="I78" s="57">
        <v>0</v>
      </c>
      <c r="J78" s="57">
        <v>13028400</v>
      </c>
      <c r="K78" s="57">
        <f t="shared" si="55"/>
        <v>13028400</v>
      </c>
      <c r="L78" s="32">
        <f t="shared" si="56"/>
        <v>28.951999999999998</v>
      </c>
      <c r="M78" s="32">
        <v>52.37</v>
      </c>
      <c r="N78" s="32">
        <f>L78*D78/100</f>
        <v>4.5034220532319383E-2</v>
      </c>
      <c r="O78" s="32">
        <f>M78*D78/100</f>
        <v>8.1460421707569994E-2</v>
      </c>
      <c r="P78" s="50"/>
      <c r="Q78" s="38"/>
      <c r="R78" s="38">
        <f t="shared" si="57"/>
        <v>0.15554787417905289</v>
      </c>
      <c r="S78" s="38">
        <f t="shared" si="58"/>
        <v>8.1460421707569994E-2</v>
      </c>
    </row>
    <row r="79" spans="1:29" ht="24" customHeight="1">
      <c r="A79" s="42" t="s">
        <v>91</v>
      </c>
      <c r="B79" s="25" t="s">
        <v>175</v>
      </c>
      <c r="C79" s="133">
        <v>425000000</v>
      </c>
      <c r="D79" s="32">
        <f t="shared" si="59"/>
        <v>1.4690632561354995</v>
      </c>
      <c r="E79" s="32">
        <f>(425000000)/$C$79*100</f>
        <v>100</v>
      </c>
      <c r="F79" s="32">
        <f>(425000000+0)/$C$79*100</f>
        <v>100</v>
      </c>
      <c r="G79" s="32">
        <f>(425000000)/$C$79*100</f>
        <v>100</v>
      </c>
      <c r="H79" s="32">
        <f>(425000000)/$C$79*100</f>
        <v>100</v>
      </c>
      <c r="I79" s="57">
        <f>418750000+2913000</f>
        <v>421663000</v>
      </c>
      <c r="J79" s="57">
        <v>0</v>
      </c>
      <c r="K79" s="57">
        <f t="shared" si="55"/>
        <v>421663000</v>
      </c>
      <c r="L79" s="32">
        <f t="shared" si="56"/>
        <v>99.21482352941176</v>
      </c>
      <c r="M79" s="32">
        <v>99.66</v>
      </c>
      <c r="N79" s="32">
        <f t="shared" ref="N79" si="68">L79*D79/100</f>
        <v>1.4575285171102661</v>
      </c>
      <c r="O79" s="32">
        <f t="shared" ref="O79" si="69">M79*D79/100</f>
        <v>1.4640684410646387</v>
      </c>
      <c r="P79" s="50"/>
      <c r="Q79" s="38"/>
      <c r="R79" s="38">
        <f t="shared" si="57"/>
        <v>1.4690632561354995</v>
      </c>
      <c r="S79" s="38">
        <f t="shared" si="58"/>
        <v>1.4640684410646387</v>
      </c>
    </row>
    <row r="80" spans="1:29" ht="33.75" customHeight="1">
      <c r="A80" s="42" t="s">
        <v>92</v>
      </c>
      <c r="B80" s="25" t="s">
        <v>176</v>
      </c>
      <c r="C80" s="133">
        <v>700000000</v>
      </c>
      <c r="D80" s="32">
        <f t="shared" si="59"/>
        <v>2.4196335983408224</v>
      </c>
      <c r="E80" s="32">
        <f>(27000000)/$C$80*100</f>
        <v>3.8571428571428568</v>
      </c>
      <c r="F80" s="32">
        <f>(27000000+673000000)/$C$80*100</f>
        <v>100</v>
      </c>
      <c r="G80" s="32">
        <f>(27000000+673000000)/$C$80*100</f>
        <v>100</v>
      </c>
      <c r="H80" s="32">
        <f>(27000000+673000000)/$C$80*100</f>
        <v>100</v>
      </c>
      <c r="I80" s="57">
        <v>26000000</v>
      </c>
      <c r="J80" s="57">
        <v>630000000</v>
      </c>
      <c r="K80" s="57">
        <f t="shared" si="55"/>
        <v>656000000</v>
      </c>
      <c r="L80" s="32">
        <f t="shared" si="56"/>
        <v>93.714285714285722</v>
      </c>
      <c r="M80" s="32">
        <v>97.8</v>
      </c>
      <c r="N80" s="32">
        <f>L80*D80/100</f>
        <v>2.2675423435879707</v>
      </c>
      <c r="O80" s="32">
        <f>M80*D80/100</f>
        <v>2.366401659177324</v>
      </c>
      <c r="P80" s="50"/>
      <c r="Q80" s="38"/>
      <c r="R80" s="38">
        <f t="shared" si="57"/>
        <v>2.4196335983408224</v>
      </c>
      <c r="S80" s="38">
        <f t="shared" si="58"/>
        <v>2.366401659177324</v>
      </c>
    </row>
    <row r="81" spans="1:19" ht="18" customHeight="1">
      <c r="A81" s="42" t="s">
        <v>93</v>
      </c>
      <c r="B81" s="25" t="s">
        <v>56</v>
      </c>
      <c r="C81" s="133">
        <v>500000000</v>
      </c>
      <c r="D81" s="32">
        <f t="shared" si="59"/>
        <v>1.7283097131005878</v>
      </c>
      <c r="E81" s="32">
        <f>(495348500)/$C$81*100</f>
        <v>99.069700000000012</v>
      </c>
      <c r="F81" s="32">
        <f>(495348500+4651500)/$C$81*100</f>
        <v>100</v>
      </c>
      <c r="G81" s="32">
        <f>(495348500+4651500)/$C$81*100</f>
        <v>100</v>
      </c>
      <c r="H81" s="32">
        <f>(495348500+4651500)/$C$81*100</f>
        <v>100</v>
      </c>
      <c r="I81" s="57">
        <v>496223500</v>
      </c>
      <c r="J81" s="57">
        <v>0</v>
      </c>
      <c r="K81" s="57">
        <f t="shared" si="55"/>
        <v>496223500</v>
      </c>
      <c r="L81" s="32">
        <f t="shared" si="56"/>
        <v>99.244699999999995</v>
      </c>
      <c r="M81" s="32">
        <v>99.71</v>
      </c>
      <c r="N81" s="32">
        <f t="shared" ref="N81" si="70">L81*D81/100</f>
        <v>1.7152557898375389</v>
      </c>
      <c r="O81" s="32">
        <f t="shared" ref="O81" si="71">M81*D81/100</f>
        <v>1.723297614932596</v>
      </c>
      <c r="P81" s="50"/>
      <c r="Q81" s="38"/>
      <c r="R81" s="38">
        <f t="shared" si="57"/>
        <v>1.7283097131005878</v>
      </c>
      <c r="S81" s="38">
        <f t="shared" si="58"/>
        <v>1.723297614932596</v>
      </c>
    </row>
    <row r="82" spans="1:19" ht="21.75" customHeight="1">
      <c r="A82" s="42" t="s">
        <v>94</v>
      </c>
      <c r="B82" s="25" t="s">
        <v>177</v>
      </c>
      <c r="C82" s="133">
        <v>660000000</v>
      </c>
      <c r="D82" s="32">
        <f t="shared" si="59"/>
        <v>2.2813688212927756</v>
      </c>
      <c r="E82" s="32">
        <f>(41700000)/$C$82*100</f>
        <v>6.3181818181818183</v>
      </c>
      <c r="F82" s="32">
        <f>(41700000)/$C$82*100</f>
        <v>6.3181818181818183</v>
      </c>
      <c r="G82" s="32">
        <f>(41700000+0+618300000)/$C$82*100</f>
        <v>100</v>
      </c>
      <c r="H82" s="32">
        <f>(41700000+0+618300000)/$C$82*100</f>
        <v>100</v>
      </c>
      <c r="I82" s="57">
        <v>39700000</v>
      </c>
      <c r="J82" s="57">
        <v>0</v>
      </c>
      <c r="K82" s="57">
        <f t="shared" si="55"/>
        <v>39700000</v>
      </c>
      <c r="L82" s="32">
        <f t="shared" si="56"/>
        <v>6.0151515151515147</v>
      </c>
      <c r="M82" s="32">
        <v>97.66</v>
      </c>
      <c r="N82" s="32">
        <f>L82*D82/100</f>
        <v>0.13722779122018663</v>
      </c>
      <c r="O82" s="32">
        <f>M82*D82/100</f>
        <v>2.2279847908745243</v>
      </c>
      <c r="P82" s="50"/>
      <c r="Q82" s="38"/>
      <c r="R82" s="38">
        <f t="shared" si="57"/>
        <v>2.2813688212927756</v>
      </c>
      <c r="S82" s="38">
        <f t="shared" si="58"/>
        <v>2.2279847908745243</v>
      </c>
    </row>
    <row r="83" spans="1:19" ht="21.75" customHeight="1">
      <c r="A83" s="42" t="s">
        <v>95</v>
      </c>
      <c r="B83" s="25" t="s">
        <v>178</v>
      </c>
      <c r="C83" s="133">
        <v>625000000</v>
      </c>
      <c r="D83" s="32">
        <f t="shared" si="59"/>
        <v>2.1603871413757343</v>
      </c>
      <c r="E83" s="32">
        <f>(625000000)/$C$83*100</f>
        <v>100</v>
      </c>
      <c r="F83" s="32">
        <f>(625000000)/$C$83*100</f>
        <v>100</v>
      </c>
      <c r="G83" s="32">
        <f>(625000000)/$C$83*100</f>
        <v>100</v>
      </c>
      <c r="H83" s="32">
        <f>(625000000)/$C$83*100</f>
        <v>100</v>
      </c>
      <c r="I83" s="57">
        <f>3600000+614000000</f>
        <v>617600000</v>
      </c>
      <c r="J83" s="57">
        <v>0</v>
      </c>
      <c r="K83" s="57">
        <f t="shared" si="55"/>
        <v>617600000</v>
      </c>
      <c r="L83" s="32">
        <f t="shared" si="56"/>
        <v>98.816000000000003</v>
      </c>
      <c r="M83" s="32">
        <v>99.24</v>
      </c>
      <c r="N83" s="32">
        <f t="shared" ref="N83" si="72">L83*D83/100</f>
        <v>2.1348081576218458</v>
      </c>
      <c r="O83" s="32">
        <f t="shared" ref="O83" si="73">M83*D83/100</f>
        <v>2.1439681991012787</v>
      </c>
      <c r="P83" s="50"/>
      <c r="Q83" s="38"/>
      <c r="R83" s="38">
        <f t="shared" si="57"/>
        <v>2.1603871413757343</v>
      </c>
      <c r="S83" s="38">
        <f t="shared" si="58"/>
        <v>2.1439681991012787</v>
      </c>
    </row>
    <row r="84" spans="1:19" ht="33.75" customHeight="1">
      <c r="A84" s="42" t="s">
        <v>96</v>
      </c>
      <c r="B84" s="26" t="s">
        <v>179</v>
      </c>
      <c r="C84" s="135">
        <v>350000000</v>
      </c>
      <c r="D84" s="32">
        <f t="shared" si="59"/>
        <v>1.2098167991704112</v>
      </c>
      <c r="E84" s="32">
        <f>(26800000)/$C$84*100</f>
        <v>7.6571428571428566</v>
      </c>
      <c r="F84" s="32">
        <f>(26800000)/$C$84*100</f>
        <v>7.6571428571428566</v>
      </c>
      <c r="G84" s="32">
        <f>(26800000+0+323200000)/$C$84*100</f>
        <v>100</v>
      </c>
      <c r="H84" s="32">
        <f>(26800000+0+323200000)/$C$84*100</f>
        <v>100</v>
      </c>
      <c r="I84" s="57">
        <f>285884500+24997000</f>
        <v>310881500</v>
      </c>
      <c r="J84" s="57">
        <v>18400000</v>
      </c>
      <c r="K84" s="57">
        <f t="shared" si="55"/>
        <v>329281500</v>
      </c>
      <c r="L84" s="32">
        <f t="shared" si="56"/>
        <v>94.08042857142857</v>
      </c>
      <c r="M84" s="32">
        <v>100</v>
      </c>
      <c r="N84" s="32">
        <f>L84*D84/100</f>
        <v>1.1382008295886621</v>
      </c>
      <c r="O84" s="32">
        <f>M84*D84/100</f>
        <v>1.2098167991704112</v>
      </c>
      <c r="P84" s="50"/>
      <c r="Q84" s="38"/>
      <c r="R84" s="38">
        <f t="shared" si="57"/>
        <v>1.2098167991704112</v>
      </c>
      <c r="S84" s="38">
        <f t="shared" si="58"/>
        <v>1.2098167991704112</v>
      </c>
    </row>
    <row r="85" spans="1:19" ht="21" customHeight="1">
      <c r="A85" s="42" t="s">
        <v>97</v>
      </c>
      <c r="B85" s="26" t="s">
        <v>180</v>
      </c>
      <c r="C85" s="135">
        <v>1000000000</v>
      </c>
      <c r="D85" s="32">
        <f t="shared" si="59"/>
        <v>3.4566194262011756</v>
      </c>
      <c r="E85" s="32">
        <f>(63800000)/$C$85*100</f>
        <v>6.38</v>
      </c>
      <c r="F85" s="32">
        <f>(63800000+0)/$C$85*100</f>
        <v>6.38</v>
      </c>
      <c r="G85" s="32">
        <f>(63800000+0+936200000)/$C$85*100</f>
        <v>100</v>
      </c>
      <c r="H85" s="32">
        <f>(63800000+0+936200000)/$C$85*100</f>
        <v>100</v>
      </c>
      <c r="I85" s="57">
        <v>61215000</v>
      </c>
      <c r="J85" s="57">
        <v>0</v>
      </c>
      <c r="K85" s="57">
        <f t="shared" si="55"/>
        <v>61215000</v>
      </c>
      <c r="L85" s="32">
        <f t="shared" si="56"/>
        <v>6.1215000000000002</v>
      </c>
      <c r="M85" s="32">
        <v>98.33</v>
      </c>
      <c r="N85" s="32">
        <f t="shared" ref="N85" si="74">L85*D85/100</f>
        <v>0.21159695817490498</v>
      </c>
      <c r="O85" s="32">
        <f t="shared" ref="O85" si="75">M85*D85/100</f>
        <v>3.3988938817836156</v>
      </c>
      <c r="P85" s="50"/>
      <c r="Q85" s="38"/>
      <c r="R85" s="38">
        <f t="shared" si="57"/>
        <v>3.4566194262011756</v>
      </c>
      <c r="S85" s="38">
        <f t="shared" si="58"/>
        <v>3.3988938817836156</v>
      </c>
    </row>
    <row r="86" spans="1:19" s="38" customFormat="1" ht="18.75" customHeight="1">
      <c r="A86" s="42" t="s">
        <v>98</v>
      </c>
      <c r="B86" s="26" t="s">
        <v>181</v>
      </c>
      <c r="C86" s="135">
        <v>3100000000</v>
      </c>
      <c r="D86" s="32">
        <f t="shared" si="59"/>
        <v>10.715520221223644</v>
      </c>
      <c r="E86" s="32">
        <f>(39332200)/$C$86*100</f>
        <v>1.2687806451612902</v>
      </c>
      <c r="F86" s="32">
        <f>(39332200+23325000)/$C$86*100</f>
        <v>2.0211999999999999</v>
      </c>
      <c r="G86" s="32">
        <f>(39332200+23325000+3037342800)/$C$86*100</f>
        <v>100</v>
      </c>
      <c r="H86" s="32">
        <f>(39332200+23325000+3037342800)/$C$86*100</f>
        <v>100</v>
      </c>
      <c r="I86" s="57">
        <v>9973933</v>
      </c>
      <c r="J86" s="57">
        <v>0</v>
      </c>
      <c r="K86" s="57">
        <f t="shared" si="55"/>
        <v>9973933</v>
      </c>
      <c r="L86" s="32">
        <f t="shared" si="56"/>
        <v>0.32173977419354838</v>
      </c>
      <c r="M86" s="32">
        <v>34.85</v>
      </c>
      <c r="N86" s="32">
        <f>L86*D86/100</f>
        <v>3.4476090563428964E-2</v>
      </c>
      <c r="O86" s="32">
        <f>M86*D86/100</f>
        <v>3.7343587970964398</v>
      </c>
      <c r="P86" s="50"/>
      <c r="R86" s="38">
        <f t="shared" si="57"/>
        <v>10.715520221223644</v>
      </c>
      <c r="S86" s="38">
        <f t="shared" si="58"/>
        <v>3.7343587970964398</v>
      </c>
    </row>
    <row r="87" spans="1:19" ht="21.75" customHeight="1">
      <c r="A87" s="42" t="s">
        <v>99</v>
      </c>
      <c r="B87" s="25" t="s">
        <v>182</v>
      </c>
      <c r="C87" s="133">
        <v>320000000</v>
      </c>
      <c r="D87" s="32">
        <f t="shared" si="59"/>
        <v>1.1061182163843761</v>
      </c>
      <c r="E87" s="32">
        <f>(315033500)/$C$87*100</f>
        <v>98.447968750000001</v>
      </c>
      <c r="F87" s="32">
        <f>(315033500+4966500)/$C$87*100</f>
        <v>100</v>
      </c>
      <c r="G87" s="32">
        <f>(315033500+4966500)/$C$87*100</f>
        <v>100</v>
      </c>
      <c r="H87" s="32">
        <f>(315033500+4966500)/$C$87*100</f>
        <v>100</v>
      </c>
      <c r="I87" s="57">
        <f>2913000+308000000</f>
        <v>310913000</v>
      </c>
      <c r="J87" s="57">
        <v>0</v>
      </c>
      <c r="K87" s="57">
        <f t="shared" si="55"/>
        <v>310913000</v>
      </c>
      <c r="L87" s="32">
        <f t="shared" si="56"/>
        <v>97.160312500000003</v>
      </c>
      <c r="M87" s="32">
        <v>99.36</v>
      </c>
      <c r="N87" s="32">
        <f t="shared" ref="N87:N93" si="76">L87*D87/100</f>
        <v>1.0747079156584862</v>
      </c>
      <c r="O87" s="32">
        <f t="shared" ref="O87:O93" si="77">M87*D87/100</f>
        <v>1.0990390597995161</v>
      </c>
      <c r="P87" s="50"/>
      <c r="Q87" s="38"/>
      <c r="R87" s="38">
        <f t="shared" si="57"/>
        <v>1.1061182163843761</v>
      </c>
      <c r="S87" s="38">
        <f t="shared" si="58"/>
        <v>1.0990390597995161</v>
      </c>
    </row>
    <row r="88" spans="1:19" ht="21.75" customHeight="1">
      <c r="A88" s="42" t="s">
        <v>150</v>
      </c>
      <c r="B88" s="25" t="s">
        <v>183</v>
      </c>
      <c r="C88" s="133">
        <v>25000000</v>
      </c>
      <c r="D88" s="32">
        <f t="shared" si="59"/>
        <v>8.6415485655029378E-2</v>
      </c>
      <c r="E88" s="32">
        <f>(5775000)/$C$88*100</f>
        <v>23.1</v>
      </c>
      <c r="F88" s="32">
        <f>(5775000+5775000)/$C$88*100</f>
        <v>46.2</v>
      </c>
      <c r="G88" s="32">
        <f>(5775000+5775000+7675000)/$C$88*100</f>
        <v>76.900000000000006</v>
      </c>
      <c r="H88" s="32">
        <f>(5775000+5775000+7675000+5775000)/$C$88*100</f>
        <v>100</v>
      </c>
      <c r="I88" s="57">
        <v>2470000</v>
      </c>
      <c r="J88" s="57">
        <v>0</v>
      </c>
      <c r="K88" s="57">
        <f t="shared" si="55"/>
        <v>2470000</v>
      </c>
      <c r="L88" s="32">
        <f t="shared" si="56"/>
        <v>9.879999999999999</v>
      </c>
      <c r="M88" s="32">
        <v>67.08</v>
      </c>
      <c r="N88" s="32">
        <f t="shared" si="76"/>
        <v>8.537849982716901E-3</v>
      </c>
      <c r="O88" s="32">
        <f t="shared" si="77"/>
        <v>5.7967507777393706E-2</v>
      </c>
      <c r="P88" s="50"/>
      <c r="Q88" s="38"/>
      <c r="R88" s="38">
        <f t="shared" si="57"/>
        <v>8.6415485655029378E-2</v>
      </c>
      <c r="S88" s="38">
        <f t="shared" si="58"/>
        <v>5.7967507777393706E-2</v>
      </c>
    </row>
    <row r="89" spans="1:19" ht="19.5" customHeight="1">
      <c r="A89" s="42" t="s">
        <v>151</v>
      </c>
      <c r="B89" s="25" t="s">
        <v>187</v>
      </c>
      <c r="C89" s="133">
        <v>550000000</v>
      </c>
      <c r="D89" s="32">
        <f t="shared" si="59"/>
        <v>1.9011406844106464</v>
      </c>
      <c r="E89" s="32">
        <f>(59275000)/$C$89*100</f>
        <v>10.777272727272727</v>
      </c>
      <c r="F89" s="32">
        <f>(59275000)/$C$89*100</f>
        <v>10.777272727272727</v>
      </c>
      <c r="G89" s="32">
        <f>(59275000)/$C$89*100</f>
        <v>10.777272727272727</v>
      </c>
      <c r="H89" s="32">
        <f>(59275000+490725000)/$C$89*100</f>
        <v>100</v>
      </c>
      <c r="I89" s="57">
        <v>53500000</v>
      </c>
      <c r="J89" s="57">
        <v>419440000</v>
      </c>
      <c r="K89" s="57">
        <f t="shared" si="55"/>
        <v>472940000</v>
      </c>
      <c r="L89" s="32">
        <f t="shared" si="56"/>
        <v>85.989090909090905</v>
      </c>
      <c r="M89" s="32">
        <v>97.47</v>
      </c>
      <c r="N89" s="32">
        <f t="shared" si="76"/>
        <v>1.6347735914275838</v>
      </c>
      <c r="O89" s="32">
        <f t="shared" si="77"/>
        <v>1.8530418250950569</v>
      </c>
      <c r="P89" s="50"/>
      <c r="Q89" s="38"/>
      <c r="R89" s="38">
        <f t="shared" si="57"/>
        <v>1.9011406844106464</v>
      </c>
      <c r="S89" s="38">
        <f t="shared" si="58"/>
        <v>1.8530418250950569</v>
      </c>
    </row>
    <row r="90" spans="1:19" ht="19.5" customHeight="1">
      <c r="A90" s="42" t="s">
        <v>152</v>
      </c>
      <c r="B90" s="25" t="s">
        <v>184</v>
      </c>
      <c r="C90" s="133">
        <v>1000000000</v>
      </c>
      <c r="D90" s="32">
        <f t="shared" si="59"/>
        <v>3.4566194262011756</v>
      </c>
      <c r="E90" s="32">
        <f>(35475000)/$C$90*100</f>
        <v>3.5474999999999999</v>
      </c>
      <c r="F90" s="32">
        <f>(35475000)/$C$90*100</f>
        <v>3.5474999999999999</v>
      </c>
      <c r="G90" s="32">
        <f>(35475000)/$C$90*100</f>
        <v>3.5474999999999999</v>
      </c>
      <c r="H90" s="32">
        <f>(35475000+964525000)/$C$90*100</f>
        <v>100</v>
      </c>
      <c r="I90" s="57">
        <v>0</v>
      </c>
      <c r="J90" s="57">
        <v>0</v>
      </c>
      <c r="K90" s="57">
        <f t="shared" si="55"/>
        <v>0</v>
      </c>
      <c r="L90" s="32">
        <f t="shared" si="56"/>
        <v>0</v>
      </c>
      <c r="M90" s="32">
        <v>75.64</v>
      </c>
      <c r="N90" s="32">
        <f t="shared" si="76"/>
        <v>0</v>
      </c>
      <c r="O90" s="32">
        <f t="shared" si="77"/>
        <v>2.6145869339785692</v>
      </c>
      <c r="P90" s="50"/>
      <c r="Q90" s="38"/>
      <c r="R90" s="38">
        <f t="shared" si="57"/>
        <v>3.4566194262011756</v>
      </c>
      <c r="S90" s="38">
        <f t="shared" si="58"/>
        <v>2.6145869339785692</v>
      </c>
    </row>
    <row r="91" spans="1:19" ht="20.25" customHeight="1">
      <c r="A91" s="42" t="s">
        <v>153</v>
      </c>
      <c r="B91" s="25" t="s">
        <v>185</v>
      </c>
      <c r="C91" s="133">
        <v>1000000000</v>
      </c>
      <c r="D91" s="32">
        <f t="shared" si="59"/>
        <v>3.4566194262011756</v>
      </c>
      <c r="E91" s="32">
        <f>(0)/$C$91*100</f>
        <v>0</v>
      </c>
      <c r="F91" s="32">
        <f>(0)/$C$91*100</f>
        <v>0</v>
      </c>
      <c r="G91" s="32">
        <f>(100000000)/$C$91*100</f>
        <v>10</v>
      </c>
      <c r="H91" s="32">
        <f>(100000000+900000000)/$C$91*100</f>
        <v>100</v>
      </c>
      <c r="I91" s="57">
        <v>47452500</v>
      </c>
      <c r="J91" s="57">
        <v>0</v>
      </c>
      <c r="K91" s="57">
        <f t="shared" si="55"/>
        <v>47452500</v>
      </c>
      <c r="L91" s="32">
        <f t="shared" si="56"/>
        <v>4.7452500000000004</v>
      </c>
      <c r="M91" s="32">
        <v>19.690000000000001</v>
      </c>
      <c r="N91" s="32">
        <f t="shared" si="76"/>
        <v>0.16402523332181129</v>
      </c>
      <c r="O91" s="32">
        <f t="shared" si="77"/>
        <v>0.68060836501901145</v>
      </c>
      <c r="P91" s="50"/>
      <c r="Q91" s="38"/>
      <c r="R91" s="38">
        <f t="shared" si="57"/>
        <v>3.4566194262011756</v>
      </c>
      <c r="S91" s="38">
        <f t="shared" si="58"/>
        <v>0.68060836501901145</v>
      </c>
    </row>
    <row r="92" spans="1:19" ht="48" customHeight="1">
      <c r="A92" s="42" t="s">
        <v>154</v>
      </c>
      <c r="B92" s="25" t="s">
        <v>186</v>
      </c>
      <c r="C92" s="133">
        <v>15900000000</v>
      </c>
      <c r="D92" s="32">
        <f t="shared" si="59"/>
        <v>54.960248876598683</v>
      </c>
      <c r="E92" s="32">
        <f>(70000000)/$C$92*100</f>
        <v>0.44025157232704404</v>
      </c>
      <c r="F92" s="32">
        <f>(70000000+100000000)/$C$92*100</f>
        <v>1.0691823899371069</v>
      </c>
      <c r="G92" s="32">
        <f>(70000000+100000000+8485072100)/$C$92*100</f>
        <v>54.434415723270433</v>
      </c>
      <c r="H92" s="32">
        <f>(70000000+100000000+8485072100+7244927900)/$C$92*100</f>
        <v>100</v>
      </c>
      <c r="I92" s="57">
        <f>2570013750+45235186</f>
        <v>2615248936</v>
      </c>
      <c r="J92" s="57">
        <v>1567500</v>
      </c>
      <c r="K92" s="57">
        <f t="shared" si="55"/>
        <v>2616816436</v>
      </c>
      <c r="L92" s="32">
        <f t="shared" si="56"/>
        <v>16.457965006289307</v>
      </c>
      <c r="M92" s="32">
        <v>48.35</v>
      </c>
      <c r="N92" s="32">
        <f t="shared" si="76"/>
        <v>9.0453385274801228</v>
      </c>
      <c r="O92" s="32">
        <f t="shared" si="77"/>
        <v>26.573280331835463</v>
      </c>
      <c r="P92" s="50"/>
      <c r="Q92" s="38"/>
      <c r="R92" s="38">
        <f t="shared" si="57"/>
        <v>54.960248876598683</v>
      </c>
      <c r="S92" s="38">
        <f t="shared" si="58"/>
        <v>26.573280331835463</v>
      </c>
    </row>
    <row r="93" spans="1:19" ht="20.25" customHeight="1">
      <c r="A93" s="42" t="s">
        <v>189</v>
      </c>
      <c r="B93" s="25" t="s">
        <v>188</v>
      </c>
      <c r="C93" s="133">
        <v>350000000</v>
      </c>
      <c r="D93" s="32">
        <f t="shared" si="59"/>
        <v>1.2098167991704112</v>
      </c>
      <c r="E93" s="32">
        <f>(150000000)/$C$93*100</f>
        <v>42.857142857142854</v>
      </c>
      <c r="F93" s="32">
        <f>(150000000+200000000)/$C$93*100</f>
        <v>100</v>
      </c>
      <c r="G93" s="32">
        <f>(150000000+200000000)/$C$93*100</f>
        <v>100</v>
      </c>
      <c r="H93" s="32">
        <f>(150000000+200000000)/$C$93*100</f>
        <v>100</v>
      </c>
      <c r="I93" s="57">
        <v>331372000</v>
      </c>
      <c r="J93" s="57">
        <v>0</v>
      </c>
      <c r="K93" s="57">
        <f t="shared" si="55"/>
        <v>331372000</v>
      </c>
      <c r="L93" s="32">
        <f t="shared" si="56"/>
        <v>94.677714285714288</v>
      </c>
      <c r="M93" s="32">
        <v>100</v>
      </c>
      <c r="N93" s="32">
        <f t="shared" si="76"/>
        <v>1.1454268924991358</v>
      </c>
      <c r="O93" s="32">
        <f t="shared" si="77"/>
        <v>1.2098167991704112</v>
      </c>
      <c r="P93" s="43"/>
      <c r="Q93" s="38"/>
      <c r="R93" s="38">
        <f t="shared" si="57"/>
        <v>1.2098167991704112</v>
      </c>
      <c r="S93" s="38">
        <f t="shared" si="58"/>
        <v>1.2098167991704112</v>
      </c>
    </row>
    <row r="94" spans="1:19">
      <c r="A94" s="66"/>
      <c r="B94" s="138"/>
      <c r="C94" s="139"/>
      <c r="D94" s="67"/>
      <c r="E94" s="140"/>
      <c r="F94" s="140"/>
      <c r="G94" s="140"/>
      <c r="H94" s="140"/>
      <c r="I94" s="141"/>
      <c r="J94" s="142"/>
      <c r="K94" s="142"/>
      <c r="L94" s="145"/>
      <c r="M94" s="145"/>
      <c r="N94" s="145"/>
      <c r="O94" s="145"/>
      <c r="P94" s="68"/>
      <c r="Q94" s="38"/>
    </row>
    <row r="95" spans="1:19" ht="15.75" thickBot="1">
      <c r="A95" s="81" t="s">
        <v>9</v>
      </c>
      <c r="B95" s="82"/>
      <c r="C95" s="69">
        <f>SUM(C10)</f>
        <v>171866825000</v>
      </c>
      <c r="D95" s="70">
        <f>SUM(D11+D14)</f>
        <v>100</v>
      </c>
      <c r="E95" s="71"/>
      <c r="F95" s="71"/>
      <c r="G95" s="71"/>
      <c r="H95" s="71"/>
      <c r="I95" s="72">
        <f>SUM(I11+I14)</f>
        <v>107301734810</v>
      </c>
      <c r="J95" s="72">
        <f t="shared" ref="J95:K95" si="78">SUM(J11+J14)</f>
        <v>12689885454</v>
      </c>
      <c r="K95" s="72">
        <f t="shared" si="78"/>
        <v>119991620264</v>
      </c>
      <c r="L95" s="146">
        <f>K95/C95*100</f>
        <v>69.81662706808018</v>
      </c>
      <c r="M95" s="146">
        <f>O95</f>
        <v>78.567490177554632</v>
      </c>
      <c r="N95" s="146">
        <f>SUM(N10)</f>
        <v>69.81662706808018</v>
      </c>
      <c r="O95" s="146">
        <f>SUM(O10)</f>
        <v>78.567490177554632</v>
      </c>
      <c r="P95" s="15"/>
      <c r="Q95" s="2"/>
    </row>
    <row r="96" spans="1:19" ht="15.75" thickTop="1">
      <c r="P96" s="73"/>
    </row>
    <row r="97" spans="1:17" ht="17.25">
      <c r="A97" s="2"/>
      <c r="L97" s="75" t="s">
        <v>191</v>
      </c>
      <c r="M97" s="75"/>
      <c r="N97" s="75"/>
      <c r="O97" s="75"/>
      <c r="P97" s="75"/>
      <c r="Q97" s="16"/>
    </row>
    <row r="98" spans="1:17" ht="17.25">
      <c r="L98" s="75" t="s">
        <v>103</v>
      </c>
      <c r="M98" s="75"/>
      <c r="N98" s="75"/>
      <c r="O98" s="75"/>
      <c r="P98" s="75"/>
      <c r="Q98" s="16"/>
    </row>
    <row r="99" spans="1:17" ht="17.25">
      <c r="L99" s="75" t="s">
        <v>104</v>
      </c>
      <c r="M99" s="75"/>
      <c r="N99" s="75"/>
      <c r="O99" s="75"/>
      <c r="P99" s="75"/>
      <c r="Q99" s="16"/>
    </row>
    <row r="100" spans="1:17" ht="18.75" customHeight="1">
      <c r="L100" s="75"/>
      <c r="M100" s="75"/>
      <c r="N100" s="75"/>
      <c r="O100" s="75"/>
      <c r="P100" s="75"/>
    </row>
    <row r="101" spans="1:17" ht="18.75" customHeight="1">
      <c r="L101" s="75"/>
      <c r="M101" s="75"/>
      <c r="N101" s="75"/>
      <c r="O101" s="75"/>
      <c r="P101" s="75"/>
    </row>
    <row r="102" spans="1:17" ht="18.75" customHeight="1">
      <c r="L102" s="75"/>
      <c r="M102" s="75"/>
      <c r="N102" s="75"/>
      <c r="O102" s="75"/>
      <c r="P102" s="75"/>
    </row>
    <row r="103" spans="1:17" ht="18.75" customHeight="1">
      <c r="L103" s="75"/>
      <c r="M103" s="75"/>
      <c r="N103" s="75"/>
      <c r="O103" s="75"/>
      <c r="P103" s="75"/>
      <c r="Q103" s="4"/>
    </row>
    <row r="104" spans="1:17" ht="17.25">
      <c r="L104" s="76" t="s">
        <v>102</v>
      </c>
      <c r="M104" s="76"/>
      <c r="N104" s="76"/>
      <c r="O104" s="76"/>
      <c r="P104" s="76"/>
      <c r="Q104" s="17"/>
    </row>
    <row r="105" spans="1:17" ht="17.25">
      <c r="L105" s="75" t="s">
        <v>161</v>
      </c>
      <c r="M105" s="75"/>
      <c r="N105" s="75"/>
      <c r="O105" s="75"/>
      <c r="P105" s="75"/>
      <c r="Q105" s="16"/>
    </row>
    <row r="106" spans="1:17" ht="17.25">
      <c r="L106" s="77" t="s">
        <v>105</v>
      </c>
      <c r="M106" s="77"/>
      <c r="N106" s="77"/>
      <c r="O106" s="77"/>
      <c r="P106" s="77"/>
      <c r="Q106" s="34"/>
    </row>
  </sheetData>
  <mergeCells count="38">
    <mergeCell ref="I7:I8"/>
    <mergeCell ref="J7:J8"/>
    <mergeCell ref="A1:P1"/>
    <mergeCell ref="K7:K8"/>
    <mergeCell ref="A7:A8"/>
    <mergeCell ref="B7:B8"/>
    <mergeCell ref="E7:E8"/>
    <mergeCell ref="F7:F8"/>
    <mergeCell ref="G7:G8"/>
    <mergeCell ref="C7:C8"/>
    <mergeCell ref="D7:D8"/>
    <mergeCell ref="A2:P2"/>
    <mergeCell ref="R10:S10"/>
    <mergeCell ref="R6:U6"/>
    <mergeCell ref="T9:U9"/>
    <mergeCell ref="A95:B95"/>
    <mergeCell ref="A3:P3"/>
    <mergeCell ref="A4:P4"/>
    <mergeCell ref="A5:P5"/>
    <mergeCell ref="A6:B6"/>
    <mergeCell ref="C6:D6"/>
    <mergeCell ref="E6:H6"/>
    <mergeCell ref="I6:K6"/>
    <mergeCell ref="L6:O6"/>
    <mergeCell ref="P6:P8"/>
    <mergeCell ref="L7:M7"/>
    <mergeCell ref="N7:O7"/>
    <mergeCell ref="H7:H8"/>
    <mergeCell ref="L102:P102"/>
    <mergeCell ref="L103:P103"/>
    <mergeCell ref="L104:P104"/>
    <mergeCell ref="L105:P105"/>
    <mergeCell ref="L106:P106"/>
    <mergeCell ref="L97:P97"/>
    <mergeCell ref="L98:P98"/>
    <mergeCell ref="L99:P99"/>
    <mergeCell ref="L100:P100"/>
    <mergeCell ref="L101:P101"/>
  </mergeCells>
  <printOptions horizontalCentered="1"/>
  <pageMargins left="0.39370078740157483" right="0.39370078740157483" top="0.59055118110236227" bottom="0.59055118110236227" header="0.31496062992125984" footer="0.31496062992125984"/>
  <pageSetup paperSize="14" scale="61" fitToHeight="0" orientation="landscape" r:id="rId1"/>
  <rowBreaks count="2" manualBreakCount="2">
    <brk id="44" max="15" man="1"/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Form-APBD01</vt:lpstr>
      <vt:lpstr>'Form-APBD01'!Print_Area</vt:lpstr>
      <vt:lpstr>'Form-APBD01'!Print_Titles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2022-10-12T03:01:32Z</dcterms:modified>
</cp:coreProperties>
</file>