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ATA AYU\2026\DATA DUKUNG LPPD 2025\"/>
    </mc:Choice>
  </mc:AlternateContent>
  <xr:revisionPtr revIDLastSave="0" documentId="8_{6AF02A95-8523-41E7-8F2D-B4A0CDFA92E6}" xr6:coauthVersionLast="47" xr6:coauthVersionMax="47" xr10:uidLastSave="{00000000-0000-0000-0000-000000000000}"/>
  <bookViews>
    <workbookView xWindow="-120" yWindow="-120" windowWidth="20730" windowHeight="11160" xr2:uid="{E3A410C4-7411-4A75-AD48-775C102BBBD1}"/>
  </bookViews>
  <sheets>
    <sheet name="LAP PENGADAAN DESEMBER 2024" sheetId="1" r:id="rId1"/>
    <sheet name="LAP PENGADAAN DESEMBER 2023" sheetId="2" r:id="rId2"/>
  </sheets>
  <externalReferences>
    <externalReference r:id="rId3"/>
  </externalReferences>
  <definedNames>
    <definedName name="_xlnm.Print_Area" localSheetId="1">'LAP PENGADAAN DESEMBER 2023'!$A$1:$H$840</definedName>
    <definedName name="_xlnm.Print_Area" localSheetId="0">'LAP PENGADAAN DESEMBER 2024'!$A$1:$I$937</definedName>
    <definedName name="_xlnm.Print_Titles" localSheetId="1">'LAP PENGADAAN DESEMBER 2023'!$3:$3</definedName>
    <definedName name="_xlnm.Print_Titles" localSheetId="0">'LAP PENGADAAN DESEMBER 2024'!$6:$7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2" i="2" l="1"/>
  <c r="F822" i="2"/>
  <c r="H821" i="2"/>
  <c r="G821" i="2"/>
  <c r="B821" i="2"/>
  <c r="F821" i="2" s="1"/>
  <c r="H820" i="2"/>
  <c r="F820" i="2"/>
  <c r="H819" i="2"/>
  <c r="G819" i="2"/>
  <c r="B819" i="2"/>
  <c r="B818" i="2" s="1"/>
  <c r="F818" i="2" s="1"/>
  <c r="G818" i="2"/>
  <c r="H817" i="2"/>
  <c r="F817" i="2"/>
  <c r="B817" i="2"/>
  <c r="G816" i="2"/>
  <c r="G815" i="2" s="1"/>
  <c r="B815" i="2"/>
  <c r="B814" i="2" s="1"/>
  <c r="H813" i="2"/>
  <c r="F813" i="2"/>
  <c r="B813" i="2"/>
  <c r="F812" i="2"/>
  <c r="F811" i="2"/>
  <c r="F810" i="2"/>
  <c r="F809" i="2"/>
  <c r="H808" i="2"/>
  <c r="G808" i="2"/>
  <c r="B808" i="2"/>
  <c r="B807" i="2" s="1"/>
  <c r="G807" i="2"/>
  <c r="H807" i="2" s="1"/>
  <c r="E806" i="2"/>
  <c r="H805" i="2"/>
  <c r="F805" i="2"/>
  <c r="H804" i="2"/>
  <c r="G804" i="2"/>
  <c r="F804" i="2"/>
  <c r="H803" i="2"/>
  <c r="G803" i="2"/>
  <c r="F803" i="2"/>
  <c r="H802" i="2"/>
  <c r="F802" i="2"/>
  <c r="G801" i="2"/>
  <c r="H801" i="2" s="1"/>
  <c r="F799" i="2"/>
  <c r="F798" i="2"/>
  <c r="F797" i="2"/>
  <c r="F796" i="2"/>
  <c r="F795" i="2"/>
  <c r="F794" i="2"/>
  <c r="H793" i="2"/>
  <c r="F793" i="2"/>
  <c r="B793" i="2"/>
  <c r="J792" i="2"/>
  <c r="H792" i="2"/>
  <c r="G792" i="2"/>
  <c r="B792" i="2"/>
  <c r="F792" i="2" s="1"/>
  <c r="H791" i="2"/>
  <c r="H790" i="2"/>
  <c r="H789" i="2"/>
  <c r="G789" i="2"/>
  <c r="F789" i="2"/>
  <c r="G788" i="2"/>
  <c r="H787" i="2"/>
  <c r="F787" i="2"/>
  <c r="H786" i="2"/>
  <c r="G786" i="2"/>
  <c r="F786" i="2"/>
  <c r="H785" i="2"/>
  <c r="F785" i="2"/>
  <c r="G784" i="2"/>
  <c r="H784" i="2" s="1"/>
  <c r="E782" i="2"/>
  <c r="G781" i="2"/>
  <c r="H781" i="2" s="1"/>
  <c r="H768" i="2" s="1"/>
  <c r="F781" i="2"/>
  <c r="F780" i="2"/>
  <c r="F779" i="2"/>
  <c r="F778" i="2"/>
  <c r="F777" i="2"/>
  <c r="F776" i="2"/>
  <c r="F775" i="2"/>
  <c r="F774" i="2"/>
  <c r="F773" i="2"/>
  <c r="F772" i="2"/>
  <c r="F771" i="2"/>
  <c r="F770" i="2"/>
  <c r="F769" i="2"/>
  <c r="I768" i="2"/>
  <c r="G768" i="2"/>
  <c r="B768" i="2"/>
  <c r="F768" i="2" s="1"/>
  <c r="F767" i="2"/>
  <c r="F766" i="2"/>
  <c r="F765" i="2"/>
  <c r="F764" i="2"/>
  <c r="H763" i="2"/>
  <c r="G763" i="2"/>
  <c r="F763" i="2"/>
  <c r="B763" i="2"/>
  <c r="F762" i="2"/>
  <c r="G761" i="2"/>
  <c r="F761" i="2" s="1"/>
  <c r="H760" i="2"/>
  <c r="F760" i="2"/>
  <c r="F759" i="2"/>
  <c r="G758" i="2"/>
  <c r="H758" i="2" s="1"/>
  <c r="H753" i="2" s="1"/>
  <c r="B758" i="2"/>
  <c r="F758" i="2" s="1"/>
  <c r="F757" i="2"/>
  <c r="F756" i="2"/>
  <c r="F755" i="2"/>
  <c r="G754" i="2"/>
  <c r="F754" i="2" s="1"/>
  <c r="B753" i="2"/>
  <c r="F752" i="2"/>
  <c r="F751" i="2"/>
  <c r="F750" i="2"/>
  <c r="I749" i="2"/>
  <c r="H749" i="2"/>
  <c r="F749" i="2"/>
  <c r="B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G697" i="2"/>
  <c r="F697" i="2"/>
  <c r="F696" i="2"/>
  <c r="F695" i="2"/>
  <c r="F694" i="2"/>
  <c r="F693" i="2"/>
  <c r="F692" i="2"/>
  <c r="F691" i="2"/>
  <c r="F690" i="2"/>
  <c r="F689" i="2"/>
  <c r="F688" i="2"/>
  <c r="G687" i="2"/>
  <c r="H687" i="2" s="1"/>
  <c r="H686" i="2" s="1"/>
  <c r="F687" i="2"/>
  <c r="B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J647" i="2"/>
  <c r="J645" i="2" s="1"/>
  <c r="F647" i="2"/>
  <c r="J646" i="2"/>
  <c r="F646" i="2"/>
  <c r="F645" i="2"/>
  <c r="F644" i="2"/>
  <c r="F643" i="2"/>
  <c r="F642" i="2"/>
  <c r="F641" i="2"/>
  <c r="G640" i="2"/>
  <c r="H640" i="2" s="1"/>
  <c r="H492" i="2" s="1"/>
  <c r="F640" i="2"/>
  <c r="B640" i="2"/>
  <c r="F639" i="2"/>
  <c r="J638" i="2"/>
  <c r="J636" i="2" s="1"/>
  <c r="F638" i="2"/>
  <c r="J637"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B492" i="2"/>
  <c r="F491" i="2"/>
  <c r="F490" i="2"/>
  <c r="H489" i="2"/>
  <c r="G489" i="2"/>
  <c r="F489" i="2"/>
  <c r="F488" i="2"/>
  <c r="F487" i="2"/>
  <c r="F486" i="2"/>
  <c r="F485" i="2"/>
  <c r="G484" i="2"/>
  <c r="H484" i="2" s="1"/>
  <c r="H452" i="2" s="1"/>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B452" i="2"/>
  <c r="G450" i="2"/>
  <c r="H450" i="2" s="1"/>
  <c r="F450" i="2"/>
  <c r="B450" i="2"/>
  <c r="F449" i="2"/>
  <c r="F448" i="2"/>
  <c r="F447" i="2"/>
  <c r="F446" i="2"/>
  <c r="F445" i="2"/>
  <c r="F444" i="2"/>
  <c r="G443" i="2"/>
  <c r="F443" i="2"/>
  <c r="F442" i="2"/>
  <c r="F441" i="2"/>
  <c r="G440" i="2"/>
  <c r="B440" i="2"/>
  <c r="F440" i="2" s="1"/>
  <c r="F439" i="2"/>
  <c r="F438" i="2"/>
  <c r="F437" i="2"/>
  <c r="F436" i="2"/>
  <c r="F435" i="2"/>
  <c r="F434" i="2"/>
  <c r="F433" i="2"/>
  <c r="G432" i="2"/>
  <c r="F432" i="2" s="1"/>
  <c r="G431" i="2"/>
  <c r="F431" i="2"/>
  <c r="F430" i="2"/>
  <c r="F429" i="2"/>
  <c r="F428" i="2"/>
  <c r="F427" i="2"/>
  <c r="F426" i="2"/>
  <c r="F425" i="2"/>
  <c r="F424" i="2"/>
  <c r="F423" i="2"/>
  <c r="F422" i="2"/>
  <c r="F421" i="2"/>
  <c r="F420" i="2"/>
  <c r="F419" i="2"/>
  <c r="F418" i="2"/>
  <c r="F417" i="2"/>
  <c r="F416" i="2"/>
  <c r="F415" i="2"/>
  <c r="F414" i="2"/>
  <c r="F413" i="2"/>
  <c r="F412" i="2"/>
  <c r="F411" i="2"/>
  <c r="F410" i="2"/>
  <c r="F409" i="2"/>
  <c r="G408" i="2"/>
  <c r="F408" i="2"/>
  <c r="G407" i="2"/>
  <c r="F407" i="2"/>
  <c r="F406" i="2"/>
  <c r="F405" i="2"/>
  <c r="G404" i="2"/>
  <c r="F404" i="2"/>
  <c r="G403" i="2"/>
  <c r="F403" i="2"/>
  <c r="F402" i="2"/>
  <c r="F401" i="2"/>
  <c r="F400" i="2"/>
  <c r="F399" i="2"/>
  <c r="F398" i="2"/>
  <c r="G397"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G360" i="2"/>
  <c r="F360" i="2"/>
  <c r="G359" i="2"/>
  <c r="F359" i="2" s="1"/>
  <c r="G358" i="2"/>
  <c r="F358" i="2"/>
  <c r="G357" i="2"/>
  <c r="F357" i="2"/>
  <c r="B356" i="2"/>
  <c r="I348" i="2"/>
  <c r="H348" i="2"/>
  <c r="G348" i="2"/>
  <c r="B348" i="2"/>
  <c r="B347" i="2" s="1"/>
  <c r="F345" i="2"/>
  <c r="F344" i="2"/>
  <c r="F343" i="2"/>
  <c r="H342" i="2"/>
  <c r="H330" i="2" s="1"/>
  <c r="H329" i="2" s="1"/>
  <c r="H328" i="2" s="1"/>
  <c r="G342" i="2"/>
  <c r="F342" i="2"/>
  <c r="F341" i="2"/>
  <c r="F340" i="2"/>
  <c r="F339" i="2"/>
  <c r="F338" i="2"/>
  <c r="F337" i="2"/>
  <c r="G336" i="2"/>
  <c r="F336" i="2"/>
  <c r="F335" i="2"/>
  <c r="G334" i="2"/>
  <c r="G330" i="2" s="1"/>
  <c r="F334" i="2"/>
  <c r="G333" i="2"/>
  <c r="F333" i="2"/>
  <c r="F332" i="2"/>
  <c r="H331" i="2"/>
  <c r="F331" i="2"/>
  <c r="B330" i="2"/>
  <c r="B329" i="2"/>
  <c r="E328" i="2"/>
  <c r="G327" i="2"/>
  <c r="H327" i="2" s="1"/>
  <c r="G326" i="2"/>
  <c r="F326" i="2" s="1"/>
  <c r="G325" i="2"/>
  <c r="H325" i="2" s="1"/>
  <c r="G324" i="2"/>
  <c r="F324" i="2" s="1"/>
  <c r="G323" i="2"/>
  <c r="H323" i="2" s="1"/>
  <c r="H321" i="2"/>
  <c r="F321" i="2"/>
  <c r="G320" i="2"/>
  <c r="H320" i="2" s="1"/>
  <c r="F320" i="2"/>
  <c r="F319" i="2"/>
  <c r="F318" i="2"/>
  <c r="F317" i="2"/>
  <c r="F316" i="2"/>
  <c r="F315" i="2"/>
  <c r="F314" i="2"/>
  <c r="F313" i="2"/>
  <c r="F312" i="2"/>
  <c r="F311" i="2"/>
  <c r="F310" i="2"/>
  <c r="F309" i="2"/>
  <c r="F308" i="2"/>
  <c r="F307" i="2"/>
  <c r="F306" i="2"/>
  <c r="F305" i="2"/>
  <c r="F304" i="2"/>
  <c r="F303" i="2"/>
  <c r="F302" i="2"/>
  <c r="F301" i="2"/>
  <c r="F300" i="2"/>
  <c r="F299" i="2"/>
  <c r="F298" i="2"/>
  <c r="F297" i="2"/>
  <c r="F296" i="2"/>
  <c r="B295" i="2"/>
  <c r="H295" i="2" s="1"/>
  <c r="G294" i="2"/>
  <c r="H294" i="2" s="1"/>
  <c r="H279" i="2" s="1"/>
  <c r="F294" i="2"/>
  <c r="F293" i="2"/>
  <c r="G292" i="2"/>
  <c r="F292" i="2"/>
  <c r="F291" i="2"/>
  <c r="F290" i="2"/>
  <c r="F289" i="2"/>
  <c r="F288" i="2"/>
  <c r="F287" i="2"/>
  <c r="G286" i="2"/>
  <c r="F286" i="2" s="1"/>
  <c r="G285" i="2"/>
  <c r="F285" i="2"/>
  <c r="F284" i="2"/>
  <c r="G283" i="2"/>
  <c r="G279" i="2" s="1"/>
  <c r="F283" i="2"/>
  <c r="G282" i="2"/>
  <c r="F282" i="2"/>
  <c r="F281" i="2"/>
  <c r="H280" i="2"/>
  <c r="F280" i="2"/>
  <c r="H278" i="2"/>
  <c r="F278" i="2"/>
  <c r="H277" i="2"/>
  <c r="G277" i="2"/>
  <c r="F277" i="2"/>
  <c r="H275" i="2"/>
  <c r="E275" i="2"/>
  <c r="F274" i="2"/>
  <c r="F273" i="2"/>
  <c r="F272" i="2"/>
  <c r="F271" i="2"/>
  <c r="F270" i="2"/>
  <c r="F269" i="2"/>
  <c r="F268" i="2"/>
  <c r="F267" i="2"/>
  <c r="F266" i="2"/>
  <c r="G265" i="2"/>
  <c r="H265" i="2" s="1"/>
  <c r="H182" i="2" s="1"/>
  <c r="H181" i="2" s="1"/>
  <c r="H180" i="2" s="1"/>
  <c r="B265" i="2"/>
  <c r="F265" i="2" s="1"/>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G182" i="2"/>
  <c r="I182" i="2" s="1"/>
  <c r="B182" i="2"/>
  <c r="F182" i="2" s="1"/>
  <c r="B181" i="2"/>
  <c r="E180" i="2"/>
  <c r="H179" i="2"/>
  <c r="H171" i="2" s="1"/>
  <c r="G179" i="2"/>
  <c r="F179" i="2"/>
  <c r="G178" i="2"/>
  <c r="F178" i="2" s="1"/>
  <c r="G177" i="2"/>
  <c r="F177" i="2"/>
  <c r="G176" i="2"/>
  <c r="F176" i="2"/>
  <c r="G175" i="2"/>
  <c r="F175" i="2" s="1"/>
  <c r="G174" i="2"/>
  <c r="F174" i="2"/>
  <c r="G173" i="2"/>
  <c r="F173" i="2"/>
  <c r="G172" i="2"/>
  <c r="F172" i="2" s="1"/>
  <c r="G171" i="2"/>
  <c r="B171" i="2"/>
  <c r="F171" i="2" s="1"/>
  <c r="H170" i="2"/>
  <c r="F170" i="2"/>
  <c r="G169" i="2"/>
  <c r="G168" i="2" s="1"/>
  <c r="G167" i="2" s="1"/>
  <c r="B169" i="2"/>
  <c r="F169" i="2" s="1"/>
  <c r="F168" i="2" s="1"/>
  <c r="F167" i="2" s="1"/>
  <c r="B168" i="2"/>
  <c r="B167" i="2" s="1"/>
  <c r="G166" i="2"/>
  <c r="H166" i="2" s="1"/>
  <c r="B166" i="2"/>
  <c r="F166" i="2" s="1"/>
  <c r="F165" i="2"/>
  <c r="F164" i="2"/>
  <c r="G163" i="2"/>
  <c r="H163" i="2" s="1"/>
  <c r="G162" i="2"/>
  <c r="F162" i="2" s="1"/>
  <c r="G161" i="2"/>
  <c r="H161" i="2" s="1"/>
  <c r="G160" i="2"/>
  <c r="F160" i="2" s="1"/>
  <c r="G159" i="2"/>
  <c r="H159" i="2" s="1"/>
  <c r="G158" i="2"/>
  <c r="F158" i="2" s="1"/>
  <c r="F157" i="2"/>
  <c r="F156" i="2"/>
  <c r="F155" i="2"/>
  <c r="F154" i="2"/>
  <c r="F153" i="2"/>
  <c r="G152" i="2"/>
  <c r="F152" i="2"/>
  <c r="G151" i="2"/>
  <c r="F151" i="2" s="1"/>
  <c r="F150" i="2"/>
  <c r="F149" i="2"/>
  <c r="G148" i="2"/>
  <c r="I148" i="2" s="1"/>
  <c r="B148" i="2"/>
  <c r="F148" i="2" s="1"/>
  <c r="H147" i="2"/>
  <c r="F147" i="2"/>
  <c r="G146" i="2"/>
  <c r="H146" i="2" s="1"/>
  <c r="B146" i="2"/>
  <c r="B145" i="2" s="1"/>
  <c r="H144" i="2"/>
  <c r="F143" i="2"/>
  <c r="G142" i="2"/>
  <c r="H142" i="2" s="1"/>
  <c r="H139" i="2" s="1"/>
  <c r="B142" i="2"/>
  <c r="B139" i="2" s="1"/>
  <c r="B129" i="2" s="1"/>
  <c r="G141" i="2"/>
  <c r="F141" i="2" s="1"/>
  <c r="G140" i="2"/>
  <c r="F140" i="2"/>
  <c r="F138" i="2"/>
  <c r="H137" i="2"/>
  <c r="H130" i="2" s="1"/>
  <c r="H129" i="2" s="1"/>
  <c r="H128" i="2" s="1"/>
  <c r="F137" i="2"/>
  <c r="G136" i="2"/>
  <c r="G130" i="2" s="1"/>
  <c r="F136" i="2"/>
  <c r="F135" i="2"/>
  <c r="F134" i="2"/>
  <c r="F133" i="2"/>
  <c r="F132" i="2"/>
  <c r="F131" i="2"/>
  <c r="J130" i="2"/>
  <c r="B130" i="2"/>
  <c r="E128" i="2"/>
  <c r="G127" i="2"/>
  <c r="F127" i="2"/>
  <c r="F126" i="2"/>
  <c r="F125" i="2"/>
  <c r="F124" i="2"/>
  <c r="H123" i="2"/>
  <c r="G123" i="2"/>
  <c r="F123" i="2"/>
  <c r="B123" i="2"/>
  <c r="J122" i="2"/>
  <c r="H122" i="2"/>
  <c r="H93" i="2" s="1"/>
  <c r="G122" i="2"/>
  <c r="F122" i="2"/>
  <c r="G121" i="2"/>
  <c r="F121" i="2" s="1"/>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I93" i="2"/>
  <c r="B93" i="2"/>
  <c r="H92" i="2"/>
  <c r="F92" i="2"/>
  <c r="B92" i="2"/>
  <c r="F91" i="2"/>
  <c r="F90" i="2"/>
  <c r="F89" i="2"/>
  <c r="F88" i="2"/>
  <c r="F87" i="2"/>
  <c r="F86" i="2"/>
  <c r="F85" i="2"/>
  <c r="F84" i="2"/>
  <c r="F83" i="2"/>
  <c r="F82" i="2"/>
  <c r="F81" i="2"/>
  <c r="F80" i="2"/>
  <c r="F79" i="2"/>
  <c r="F78" i="2"/>
  <c r="F77" i="2"/>
  <c r="H76" i="2"/>
  <c r="G76" i="2"/>
  <c r="B76" i="2"/>
  <c r="F76" i="2" s="1"/>
  <c r="G75" i="2"/>
  <c r="B75" i="2"/>
  <c r="F75" i="2" s="1"/>
  <c r="F74" i="2"/>
  <c r="F73" i="2"/>
  <c r="F72" i="2"/>
  <c r="G71" i="2"/>
  <c r="E69" i="2"/>
  <c r="G68" i="2"/>
  <c r="H68" i="2" s="1"/>
  <c r="H60" i="2" s="1"/>
  <c r="B68" i="2"/>
  <c r="F68" i="2" s="1"/>
  <c r="F67" i="2"/>
  <c r="F66" i="2"/>
  <c r="I65" i="2"/>
  <c r="F65" i="2"/>
  <c r="F64" i="2"/>
  <c r="F63" i="2"/>
  <c r="F62" i="2"/>
  <c r="F61" i="2"/>
  <c r="B60" i="2"/>
  <c r="H59" i="2"/>
  <c r="F59" i="2"/>
  <c r="G58" i="2"/>
  <c r="H58" i="2" s="1"/>
  <c r="H57" i="2"/>
  <c r="F57" i="2"/>
  <c r="G56" i="2"/>
  <c r="H56" i="2" s="1"/>
  <c r="F56" i="2"/>
  <c r="B55" i="2"/>
  <c r="H55" i="2" s="1"/>
  <c r="H53" i="2" s="1"/>
  <c r="H54" i="2"/>
  <c r="F54" i="2"/>
  <c r="G53" i="2"/>
  <c r="F53" i="2"/>
  <c r="H52" i="2"/>
  <c r="F52" i="2"/>
  <c r="G51" i="2"/>
  <c r="B51" i="2"/>
  <c r="F51" i="2" s="1"/>
  <c r="B50" i="2"/>
  <c r="B49" i="2"/>
  <c r="H49" i="2" s="1"/>
  <c r="G48" i="2"/>
  <c r="H48" i="2" s="1"/>
  <c r="F48" i="2"/>
  <c r="E48" i="2"/>
  <c r="G47" i="2"/>
  <c r="F47" i="2" s="1"/>
  <c r="E47" i="2"/>
  <c r="J46" i="2"/>
  <c r="G46" i="2"/>
  <c r="H46" i="2" s="1"/>
  <c r="F46" i="2"/>
  <c r="E46" i="2"/>
  <c r="B45" i="2"/>
  <c r="H44" i="2"/>
  <c r="F44" i="2"/>
  <c r="H43" i="2"/>
  <c r="G43" i="2"/>
  <c r="B43" i="2"/>
  <c r="B42" i="2" s="1"/>
  <c r="G41" i="2"/>
  <c r="F41" i="2" s="1"/>
  <c r="I40" i="2"/>
  <c r="F40" i="2"/>
  <c r="B39" i="2"/>
  <c r="B38" i="2" s="1"/>
  <c r="H38" i="2"/>
  <c r="H37" i="2"/>
  <c r="F37" i="2"/>
  <c r="J36" i="2"/>
  <c r="G36" i="2"/>
  <c r="H36" i="2" s="1"/>
  <c r="B35" i="2"/>
  <c r="H34" i="2"/>
  <c r="F34" i="2"/>
  <c r="G33" i="2"/>
  <c r="F33" i="2" s="1"/>
  <c r="H32" i="2"/>
  <c r="F32" i="2"/>
  <c r="F31" i="2"/>
  <c r="I30" i="2"/>
  <c r="H30" i="2"/>
  <c r="F30" i="2"/>
  <c r="G29" i="2"/>
  <c r="B29" i="2"/>
  <c r="F29" i="2" s="1"/>
  <c r="B28" i="2"/>
  <c r="H27" i="2"/>
  <c r="F27" i="2"/>
  <c r="H26" i="2"/>
  <c r="G26" i="2"/>
  <c r="F26" i="2"/>
  <c r="H25" i="2"/>
  <c r="F25" i="2"/>
  <c r="G24" i="2"/>
  <c r="F24" i="2" s="1"/>
  <c r="H23" i="2"/>
  <c r="F23" i="2"/>
  <c r="G22" i="2"/>
  <c r="H22" i="2" s="1"/>
  <c r="F22" i="2"/>
  <c r="B21" i="2"/>
  <c r="H20" i="2"/>
  <c r="F20" i="2"/>
  <c r="G19" i="2"/>
  <c r="H19" i="2" s="1"/>
  <c r="H18" i="2" s="1"/>
  <c r="F19" i="2"/>
  <c r="B19" i="2"/>
  <c r="G18" i="2"/>
  <c r="B18" i="2"/>
  <c r="F18" i="2" s="1"/>
  <c r="H17" i="2"/>
  <c r="F17" i="2"/>
  <c r="G16" i="2"/>
  <c r="F16" i="2" s="1"/>
  <c r="H15" i="2"/>
  <c r="H14" i="2" s="1"/>
  <c r="F15" i="2"/>
  <c r="G14" i="2"/>
  <c r="F14" i="2"/>
  <c r="B14" i="2"/>
  <c r="H13" i="2"/>
  <c r="F13" i="2"/>
  <c r="H12" i="2"/>
  <c r="G12" i="2"/>
  <c r="F12" i="2"/>
  <c r="B12" i="2"/>
  <c r="G11" i="2"/>
  <c r="H11" i="2" s="1"/>
  <c r="B11" i="2"/>
  <c r="F11" i="2" s="1"/>
  <c r="H10" i="2"/>
  <c r="F10" i="2"/>
  <c r="G9" i="2"/>
  <c r="H9" i="2" s="1"/>
  <c r="B9" i="2"/>
  <c r="F9" i="2" s="1"/>
  <c r="H8" i="2"/>
  <c r="F8" i="2"/>
  <c r="F7" i="2"/>
  <c r="H6" i="2"/>
  <c r="H5" i="2" s="1"/>
  <c r="G6" i="2"/>
  <c r="B6" i="2"/>
  <c r="B5" i="2" s="1"/>
  <c r="E4" i="2"/>
  <c r="H922" i="1"/>
  <c r="H920" i="1" s="1"/>
  <c r="F922" i="1"/>
  <c r="F921" i="1"/>
  <c r="G920" i="1"/>
  <c r="C920" i="1"/>
  <c r="H919" i="1"/>
  <c r="F919" i="1"/>
  <c r="G918" i="1"/>
  <c r="C918" i="1"/>
  <c r="C917" i="1"/>
  <c r="F916" i="1"/>
  <c r="F915" i="1"/>
  <c r="G914" i="1"/>
  <c r="G912" i="1" s="1"/>
  <c r="F913" i="1"/>
  <c r="C912" i="1"/>
  <c r="C911" i="1" s="1"/>
  <c r="H910" i="1"/>
  <c r="H897" i="1" s="1"/>
  <c r="H896" i="1" s="1"/>
  <c r="F910" i="1"/>
  <c r="F909" i="1"/>
  <c r="F908" i="1"/>
  <c r="F907" i="1"/>
  <c r="F906" i="1"/>
  <c r="F905" i="1"/>
  <c r="F904" i="1"/>
  <c r="F903" i="1"/>
  <c r="F902" i="1"/>
  <c r="F901" i="1"/>
  <c r="F900" i="1"/>
  <c r="F899" i="1"/>
  <c r="F898" i="1"/>
  <c r="G897" i="1"/>
  <c r="F897" i="1" s="1"/>
  <c r="C896" i="1"/>
  <c r="F894" i="1"/>
  <c r="H893" i="1"/>
  <c r="G893" i="1"/>
  <c r="F893" i="1" s="1"/>
  <c r="G892" i="1"/>
  <c r="F892" i="1" s="1"/>
  <c r="G891" i="1"/>
  <c r="H890" i="1"/>
  <c r="G888" i="1"/>
  <c r="F888" i="1" s="1"/>
  <c r="F887" i="1"/>
  <c r="F886" i="1"/>
  <c r="F885" i="1"/>
  <c r="F884" i="1"/>
  <c r="F883" i="1"/>
  <c r="F882" i="1"/>
  <c r="H881" i="1"/>
  <c r="H880" i="1" s="1"/>
  <c r="F879" i="1"/>
  <c r="H878" i="1"/>
  <c r="G878" i="1"/>
  <c r="F878" i="1" s="1"/>
  <c r="F877" i="1"/>
  <c r="H876" i="1"/>
  <c r="G876" i="1"/>
  <c r="F876" i="1" s="1"/>
  <c r="F874" i="1"/>
  <c r="F873" i="1"/>
  <c r="H872" i="1"/>
  <c r="G872" i="1"/>
  <c r="C872" i="1"/>
  <c r="C871" i="1" s="1"/>
  <c r="F869" i="1"/>
  <c r="F868" i="1"/>
  <c r="F867" i="1"/>
  <c r="F866" i="1"/>
  <c r="F865" i="1"/>
  <c r="F864" i="1"/>
  <c r="F863" i="1"/>
  <c r="F862" i="1"/>
  <c r="F861" i="1"/>
  <c r="F860" i="1"/>
  <c r="F859" i="1"/>
  <c r="F858" i="1"/>
  <c r="G857" i="1"/>
  <c r="F857" i="1" s="1"/>
  <c r="F856" i="1"/>
  <c r="J855" i="1"/>
  <c r="J854" i="1" s="1"/>
  <c r="C855" i="1"/>
  <c r="C791" i="1" s="1"/>
  <c r="H854" i="1"/>
  <c r="F854" i="1"/>
  <c r="F853" i="1"/>
  <c r="F852" i="1"/>
  <c r="F851" i="1"/>
  <c r="F850" i="1"/>
  <c r="H849" i="1"/>
  <c r="F849" i="1"/>
  <c r="F848" i="1"/>
  <c r="G847" i="1"/>
  <c r="F847" i="1" s="1"/>
  <c r="F846" i="1"/>
  <c r="H845" i="1"/>
  <c r="F845" i="1"/>
  <c r="G844" i="1"/>
  <c r="F844" i="1" s="1"/>
  <c r="F843" i="1"/>
  <c r="F842" i="1"/>
  <c r="G841" i="1"/>
  <c r="F841" i="1" s="1"/>
  <c r="G840" i="1"/>
  <c r="F840" i="1" s="1"/>
  <c r="F839" i="1"/>
  <c r="F838" i="1"/>
  <c r="F837" i="1"/>
  <c r="F836" i="1"/>
  <c r="G835" i="1"/>
  <c r="F835" i="1" s="1"/>
  <c r="G834" i="1"/>
  <c r="F834" i="1" s="1"/>
  <c r="G833" i="1"/>
  <c r="F833" i="1" s="1"/>
  <c r="F832" i="1"/>
  <c r="F831" i="1"/>
  <c r="F830" i="1"/>
  <c r="F829" i="1"/>
  <c r="F828" i="1"/>
  <c r="F827" i="1"/>
  <c r="G826" i="1"/>
  <c r="F826" i="1" s="1"/>
  <c r="F825" i="1"/>
  <c r="G824" i="1"/>
  <c r="F824" i="1" s="1"/>
  <c r="G823" i="1"/>
  <c r="F823" i="1" s="1"/>
  <c r="F822" i="1"/>
  <c r="F821" i="1"/>
  <c r="F820" i="1"/>
  <c r="F819" i="1"/>
  <c r="F818" i="1"/>
  <c r="F817" i="1"/>
  <c r="F816" i="1"/>
  <c r="F815" i="1"/>
  <c r="F814" i="1"/>
  <c r="F813" i="1"/>
  <c r="F812" i="1"/>
  <c r="F811" i="1"/>
  <c r="F810" i="1"/>
  <c r="F809" i="1"/>
  <c r="G808" i="1"/>
  <c r="F808" i="1" s="1"/>
  <c r="G807" i="1"/>
  <c r="F807" i="1" s="1"/>
  <c r="G806" i="1"/>
  <c r="F806" i="1" s="1"/>
  <c r="G805" i="1"/>
  <c r="F805" i="1" s="1"/>
  <c r="G804" i="1"/>
  <c r="F803" i="1"/>
  <c r="F802" i="1"/>
  <c r="F801" i="1"/>
  <c r="F800" i="1"/>
  <c r="F799" i="1"/>
  <c r="F798" i="1"/>
  <c r="F797" i="1"/>
  <c r="F796" i="1"/>
  <c r="F795" i="1"/>
  <c r="F794" i="1"/>
  <c r="F793" i="1"/>
  <c r="G792" i="1"/>
  <c r="F792" i="1" s="1"/>
  <c r="F790" i="1"/>
  <c r="F789" i="1"/>
  <c r="H788" i="1"/>
  <c r="G788" i="1"/>
  <c r="F788" i="1" s="1"/>
  <c r="H787" i="1"/>
  <c r="F787" i="1"/>
  <c r="F786" i="1"/>
  <c r="H785" i="1"/>
  <c r="F785" i="1"/>
  <c r="F784" i="1"/>
  <c r="F783" i="1"/>
  <c r="F782" i="1"/>
  <c r="F781" i="1"/>
  <c r="F780" i="1"/>
  <c r="F779" i="1"/>
  <c r="F778" i="1"/>
  <c r="F777" i="1"/>
  <c r="F776" i="1"/>
  <c r="H775" i="1"/>
  <c r="F775" i="1"/>
  <c r="F774" i="1"/>
  <c r="F773" i="1"/>
  <c r="H772" i="1"/>
  <c r="G772" i="1"/>
  <c r="C772" i="1"/>
  <c r="G771" i="1"/>
  <c r="H771" i="1" s="1"/>
  <c r="F770" i="1"/>
  <c r="F769" i="1"/>
  <c r="G768" i="1"/>
  <c r="F768" i="1" s="1"/>
  <c r="F767" i="1"/>
  <c r="F766" i="1"/>
  <c r="F765" i="1"/>
  <c r="F764" i="1"/>
  <c r="F763" i="1"/>
  <c r="F762" i="1"/>
  <c r="H761" i="1"/>
  <c r="C761" i="1"/>
  <c r="G759" i="1"/>
  <c r="H759" i="1" s="1"/>
  <c r="F758" i="1"/>
  <c r="F757" i="1"/>
  <c r="F756" i="1"/>
  <c r="F755" i="1"/>
  <c r="F754" i="1"/>
  <c r="F753" i="1"/>
  <c r="F752" i="1"/>
  <c r="F751" i="1"/>
  <c r="F750" i="1"/>
  <c r="H749" i="1"/>
  <c r="C749" i="1"/>
  <c r="H748" i="1"/>
  <c r="F748" i="1"/>
  <c r="F747" i="1"/>
  <c r="F746" i="1"/>
  <c r="J745" i="1"/>
  <c r="F745" i="1"/>
  <c r="F744" i="1"/>
  <c r="F743" i="1"/>
  <c r="F742" i="1"/>
  <c r="F741" i="1"/>
  <c r="H740" i="1"/>
  <c r="G740" i="1"/>
  <c r="C740" i="1"/>
  <c r="G732" i="1"/>
  <c r="J732" i="1" s="1"/>
  <c r="F731" i="1"/>
  <c r="G730" i="1"/>
  <c r="F730" i="1" s="1"/>
  <c r="F729" i="1"/>
  <c r="G728" i="1"/>
  <c r="F728" i="1" s="1"/>
  <c r="F727" i="1"/>
  <c r="F726" i="1"/>
  <c r="G725" i="1"/>
  <c r="F725" i="1" s="1"/>
  <c r="G724" i="1"/>
  <c r="F724" i="1" s="1"/>
  <c r="F723" i="1"/>
  <c r="G722" i="1"/>
  <c r="F722" i="1" s="1"/>
  <c r="G721" i="1"/>
  <c r="F721" i="1" s="1"/>
  <c r="G720" i="1"/>
  <c r="F720" i="1" s="1"/>
  <c r="F719" i="1"/>
  <c r="F718" i="1"/>
  <c r="F717" i="1"/>
  <c r="F716" i="1"/>
  <c r="F715" i="1"/>
  <c r="F714" i="1"/>
  <c r="G713" i="1"/>
  <c r="F713" i="1" s="1"/>
  <c r="F712" i="1"/>
  <c r="F711" i="1"/>
  <c r="F710" i="1"/>
  <c r="G709" i="1"/>
  <c r="F709" i="1" s="1"/>
  <c r="F708" i="1"/>
  <c r="F707" i="1"/>
  <c r="G706" i="1"/>
  <c r="F706" i="1" s="1"/>
  <c r="G705" i="1"/>
  <c r="F705" i="1" s="1"/>
  <c r="G704" i="1"/>
  <c r="F704" i="1" s="1"/>
  <c r="G703" i="1"/>
  <c r="F703" i="1" s="1"/>
  <c r="G702" i="1"/>
  <c r="F702" i="1" s="1"/>
  <c r="G701" i="1"/>
  <c r="F701" i="1" s="1"/>
  <c r="G700" i="1"/>
  <c r="F700" i="1" s="1"/>
  <c r="G699" i="1"/>
  <c r="F699" i="1" s="1"/>
  <c r="F698" i="1"/>
  <c r="F697" i="1"/>
  <c r="F696" i="1"/>
  <c r="F695" i="1"/>
  <c r="F694" i="1"/>
  <c r="F693" i="1"/>
  <c r="G692" i="1"/>
  <c r="F692" i="1" s="1"/>
  <c r="F691" i="1"/>
  <c r="G690" i="1"/>
  <c r="F690" i="1" s="1"/>
  <c r="F689" i="1"/>
  <c r="G688" i="1"/>
  <c r="F688" i="1" s="1"/>
  <c r="G687" i="1"/>
  <c r="F687" i="1" s="1"/>
  <c r="F686" i="1"/>
  <c r="F685" i="1"/>
  <c r="F684" i="1"/>
  <c r="G683" i="1"/>
  <c r="F683" i="1" s="1"/>
  <c r="F682" i="1"/>
  <c r="F681" i="1"/>
  <c r="F680" i="1"/>
  <c r="F679" i="1"/>
  <c r="G678" i="1"/>
  <c r="F678" i="1" s="1"/>
  <c r="F677" i="1"/>
  <c r="F676" i="1"/>
  <c r="F675" i="1"/>
  <c r="F674" i="1"/>
  <c r="F673" i="1"/>
  <c r="F672" i="1"/>
  <c r="G671" i="1"/>
  <c r="F671" i="1" s="1"/>
  <c r="F670" i="1"/>
  <c r="G669" i="1"/>
  <c r="F669" i="1" s="1"/>
  <c r="F668" i="1"/>
  <c r="G667" i="1"/>
  <c r="F667" i="1"/>
  <c r="F666" i="1"/>
  <c r="F665" i="1"/>
  <c r="F664" i="1"/>
  <c r="F663" i="1"/>
  <c r="F662" i="1"/>
  <c r="F661" i="1"/>
  <c r="F660" i="1"/>
  <c r="F659" i="1"/>
  <c r="G658" i="1"/>
  <c r="F658" i="1" s="1"/>
  <c r="G657" i="1"/>
  <c r="F657" i="1" s="1"/>
  <c r="F656" i="1"/>
  <c r="F655" i="1"/>
  <c r="F654" i="1"/>
  <c r="G653" i="1"/>
  <c r="F653" i="1" s="1"/>
  <c r="F652" i="1"/>
  <c r="G651" i="1"/>
  <c r="F651" i="1" s="1"/>
  <c r="F650" i="1"/>
  <c r="F649" i="1"/>
  <c r="G648" i="1"/>
  <c r="F648" i="1" s="1"/>
  <c r="G647" i="1"/>
  <c r="F647" i="1" s="1"/>
  <c r="G646" i="1"/>
  <c r="F646" i="1" s="1"/>
  <c r="F645" i="1"/>
  <c r="F644" i="1"/>
  <c r="F643" i="1"/>
  <c r="F642" i="1"/>
  <c r="F641" i="1"/>
  <c r="F640" i="1"/>
  <c r="F639" i="1"/>
  <c r="G638" i="1"/>
  <c r="F638" i="1" s="1"/>
  <c r="F637" i="1"/>
  <c r="F636" i="1"/>
  <c r="F635" i="1"/>
  <c r="F634" i="1"/>
  <c r="G633" i="1"/>
  <c r="F633" i="1" s="1"/>
  <c r="F632" i="1"/>
  <c r="G631" i="1"/>
  <c r="F631" i="1" s="1"/>
  <c r="G630" i="1"/>
  <c r="F630" i="1" s="1"/>
  <c r="F629" i="1"/>
  <c r="G628" i="1"/>
  <c r="F628" i="1" s="1"/>
  <c r="G627" i="1"/>
  <c r="F627" i="1" s="1"/>
  <c r="F626" i="1"/>
  <c r="F625" i="1"/>
  <c r="G624" i="1"/>
  <c r="F624" i="1" s="1"/>
  <c r="F623" i="1"/>
  <c r="F622" i="1"/>
  <c r="F621" i="1"/>
  <c r="F620" i="1"/>
  <c r="F619" i="1"/>
  <c r="F618" i="1"/>
  <c r="F617" i="1"/>
  <c r="F616" i="1"/>
  <c r="F615" i="1"/>
  <c r="F614" i="1"/>
  <c r="F613" i="1"/>
  <c r="F612" i="1"/>
  <c r="F611" i="1"/>
  <c r="F610" i="1"/>
  <c r="F609" i="1"/>
  <c r="G608" i="1"/>
  <c r="F608" i="1" s="1"/>
  <c r="G607" i="1"/>
  <c r="F607" i="1" s="1"/>
  <c r="F605" i="1"/>
  <c r="F604" i="1"/>
  <c r="F603" i="1"/>
  <c r="F602" i="1"/>
  <c r="F601" i="1"/>
  <c r="F600" i="1"/>
  <c r="F599" i="1"/>
  <c r="F598" i="1"/>
  <c r="F597" i="1"/>
  <c r="F596" i="1"/>
  <c r="F595" i="1"/>
  <c r="F594" i="1"/>
  <c r="F593" i="1"/>
  <c r="F592" i="1"/>
  <c r="G591" i="1"/>
  <c r="F591" i="1" s="1"/>
  <c r="F590" i="1"/>
  <c r="F589" i="1"/>
  <c r="F588" i="1"/>
  <c r="F587" i="1"/>
  <c r="F586" i="1"/>
  <c r="F585" i="1"/>
  <c r="F584" i="1"/>
  <c r="F583" i="1"/>
  <c r="F582" i="1"/>
  <c r="F581" i="1"/>
  <c r="F580" i="1"/>
  <c r="F579" i="1"/>
  <c r="F578" i="1"/>
  <c r="F577" i="1"/>
  <c r="F576" i="1"/>
  <c r="F575" i="1"/>
  <c r="G574" i="1"/>
  <c r="F574" i="1" s="1"/>
  <c r="F573" i="1"/>
  <c r="G572" i="1"/>
  <c r="F572" i="1"/>
  <c r="G571" i="1"/>
  <c r="F571" i="1" s="1"/>
  <c r="F570" i="1"/>
  <c r="G569" i="1"/>
  <c r="F569" i="1" s="1"/>
  <c r="F568" i="1"/>
  <c r="F567" i="1"/>
  <c r="G566" i="1"/>
  <c r="F566" i="1" s="1"/>
  <c r="G565" i="1"/>
  <c r="F565" i="1" s="1"/>
  <c r="F564" i="1"/>
  <c r="F563" i="1"/>
  <c r="F562" i="1"/>
  <c r="F561" i="1"/>
  <c r="F560" i="1"/>
  <c r="F559" i="1"/>
  <c r="G558" i="1"/>
  <c r="F558" i="1" s="1"/>
  <c r="F557" i="1"/>
  <c r="F556" i="1"/>
  <c r="G555" i="1"/>
  <c r="F555" i="1" s="1"/>
  <c r="G554" i="1"/>
  <c r="F554" i="1" s="1"/>
  <c r="G553" i="1"/>
  <c r="F553" i="1" s="1"/>
  <c r="G552" i="1"/>
  <c r="F552" i="1" s="1"/>
  <c r="F551" i="1"/>
  <c r="F550" i="1"/>
  <c r="H549" i="1"/>
  <c r="C549" i="1"/>
  <c r="F548" i="1"/>
  <c r="F547" i="1"/>
  <c r="F546" i="1"/>
  <c r="F545" i="1"/>
  <c r="H544" i="1"/>
  <c r="H470" i="1" s="1"/>
  <c r="F544" i="1"/>
  <c r="G543" i="1"/>
  <c r="F543" i="1" s="1"/>
  <c r="F542" i="1"/>
  <c r="F541" i="1"/>
  <c r="G540" i="1"/>
  <c r="F540" i="1" s="1"/>
  <c r="F539" i="1"/>
  <c r="F538" i="1"/>
  <c r="F537" i="1"/>
  <c r="F536" i="1"/>
  <c r="F535" i="1"/>
  <c r="F534" i="1"/>
  <c r="F533" i="1"/>
  <c r="F532" i="1"/>
  <c r="F531" i="1"/>
  <c r="F530" i="1"/>
  <c r="F529" i="1"/>
  <c r="F528" i="1"/>
  <c r="F527" i="1"/>
  <c r="F526" i="1"/>
  <c r="F525" i="1"/>
  <c r="G524" i="1"/>
  <c r="F524" i="1" s="1"/>
  <c r="F523" i="1"/>
  <c r="F522" i="1"/>
  <c r="F521" i="1"/>
  <c r="F520" i="1"/>
  <c r="F519" i="1"/>
  <c r="F518" i="1"/>
  <c r="F517" i="1"/>
  <c r="F516" i="1"/>
  <c r="F515" i="1"/>
  <c r="F514" i="1"/>
  <c r="F513" i="1"/>
  <c r="F512" i="1"/>
  <c r="F511" i="1"/>
  <c r="F510" i="1"/>
  <c r="G509" i="1"/>
  <c r="F509" i="1" s="1"/>
  <c r="F508" i="1"/>
  <c r="F507" i="1"/>
  <c r="F506" i="1"/>
  <c r="G505" i="1"/>
  <c r="F505" i="1" s="1"/>
  <c r="F504" i="1"/>
  <c r="F503" i="1"/>
  <c r="G502" i="1"/>
  <c r="F502" i="1" s="1"/>
  <c r="G501" i="1"/>
  <c r="F501" i="1" s="1"/>
  <c r="F500" i="1"/>
  <c r="F499" i="1"/>
  <c r="F498" i="1"/>
  <c r="F497" i="1"/>
  <c r="F496" i="1"/>
  <c r="F495" i="1"/>
  <c r="F494" i="1"/>
  <c r="F493" i="1"/>
  <c r="F492" i="1"/>
  <c r="F491" i="1"/>
  <c r="F490" i="1"/>
  <c r="G489" i="1"/>
  <c r="F489" i="1" s="1"/>
  <c r="F488" i="1"/>
  <c r="F487" i="1"/>
  <c r="F486" i="1"/>
  <c r="F485" i="1"/>
  <c r="F484" i="1"/>
  <c r="F483" i="1"/>
  <c r="F482" i="1"/>
  <c r="F481" i="1"/>
  <c r="F480" i="1"/>
  <c r="F479" i="1"/>
  <c r="G478" i="1"/>
  <c r="F478" i="1" s="1"/>
  <c r="F477" i="1"/>
  <c r="F476" i="1"/>
  <c r="F475" i="1"/>
  <c r="F474" i="1"/>
  <c r="F473" i="1"/>
  <c r="F472" i="1"/>
  <c r="F471" i="1"/>
  <c r="C470" i="1"/>
  <c r="F469" i="1"/>
  <c r="G468" i="1"/>
  <c r="F468" i="1" s="1"/>
  <c r="F467" i="1"/>
  <c r="G466" i="1"/>
  <c r="F466" i="1" s="1"/>
  <c r="F465" i="1"/>
  <c r="G464" i="1"/>
  <c r="H464" i="1" s="1"/>
  <c r="F463" i="1"/>
  <c r="F462" i="1"/>
  <c r="F461" i="1"/>
  <c r="F460" i="1"/>
  <c r="F459" i="1"/>
  <c r="F458" i="1"/>
  <c r="G457" i="1"/>
  <c r="F457" i="1" s="1"/>
  <c r="G456" i="1"/>
  <c r="F456" i="1" s="1"/>
  <c r="G455" i="1"/>
  <c r="F455" i="1" s="1"/>
  <c r="G454" i="1"/>
  <c r="F454" i="1" s="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H428" i="1"/>
  <c r="C428" i="1"/>
  <c r="H427" i="1"/>
  <c r="F427" i="1"/>
  <c r="F426" i="1"/>
  <c r="F425" i="1"/>
  <c r="F424" i="1"/>
  <c r="F423" i="1"/>
  <c r="F422" i="1"/>
  <c r="F421" i="1"/>
  <c r="F420" i="1"/>
  <c r="F419" i="1"/>
  <c r="F418" i="1"/>
  <c r="F417" i="1"/>
  <c r="F416" i="1" s="1"/>
  <c r="H416" i="1"/>
  <c r="G416" i="1"/>
  <c r="C416" i="1"/>
  <c r="F413" i="1"/>
  <c r="G412" i="1"/>
  <c r="H412" i="1" s="1"/>
  <c r="F411" i="1"/>
  <c r="F410" i="1"/>
  <c r="F409" i="1"/>
  <c r="F408" i="1"/>
  <c r="G407" i="1"/>
  <c r="F407" i="1"/>
  <c r="E407" i="1"/>
  <c r="H406" i="1"/>
  <c r="H397" i="1" s="1"/>
  <c r="F406" i="1"/>
  <c r="F405" i="1"/>
  <c r="G404" i="1"/>
  <c r="F404" i="1"/>
  <c r="F403" i="1"/>
  <c r="H402" i="1"/>
  <c r="F402" i="1"/>
  <c r="H401" i="1"/>
  <c r="F401" i="1"/>
  <c r="F400" i="1"/>
  <c r="H399" i="1"/>
  <c r="F399" i="1"/>
  <c r="H398" i="1"/>
  <c r="F398" i="1"/>
  <c r="C397" i="1"/>
  <c r="H396" i="1"/>
  <c r="F396" i="1"/>
  <c r="F395" i="1"/>
  <c r="H394" i="1"/>
  <c r="F394" i="1"/>
  <c r="G393" i="1"/>
  <c r="C393" i="1"/>
  <c r="F390" i="1"/>
  <c r="G389" i="1"/>
  <c r="H389" i="1" s="1"/>
  <c r="H388" i="1" s="1"/>
  <c r="F387" i="1"/>
  <c r="F386" i="1"/>
  <c r="F385" i="1"/>
  <c r="F384" i="1"/>
  <c r="F383" i="1"/>
  <c r="F382" i="1"/>
  <c r="F381" i="1"/>
  <c r="F380" i="1"/>
  <c r="F379" i="1"/>
  <c r="F378" i="1"/>
  <c r="F377" i="1"/>
  <c r="F376" i="1"/>
  <c r="F375" i="1"/>
  <c r="F374" i="1"/>
  <c r="F373" i="1"/>
  <c r="F372" i="1"/>
  <c r="F371" i="1"/>
  <c r="H370" i="1"/>
  <c r="F370" i="1"/>
  <c r="H369" i="1"/>
  <c r="F369" i="1"/>
  <c r="H368" i="1"/>
  <c r="F368" i="1"/>
  <c r="H367" i="1"/>
  <c r="F367" i="1"/>
  <c r="H366" i="1"/>
  <c r="F366" i="1"/>
  <c r="H365" i="1"/>
  <c r="F365" i="1"/>
  <c r="F364" i="1"/>
  <c r="F363" i="1"/>
  <c r="F362" i="1"/>
  <c r="F361" i="1"/>
  <c r="F360" i="1"/>
  <c r="F359" i="1"/>
  <c r="F358" i="1"/>
  <c r="F357" i="1"/>
  <c r="F356" i="1"/>
  <c r="F355" i="1"/>
  <c r="F354" i="1"/>
  <c r="F353" i="1"/>
  <c r="F352" i="1"/>
  <c r="F351" i="1"/>
  <c r="F350" i="1"/>
  <c r="F349" i="1"/>
  <c r="F348" i="1"/>
  <c r="F347" i="1"/>
  <c r="H346" i="1"/>
  <c r="F346" i="1"/>
  <c r="H345" i="1"/>
  <c r="F345" i="1"/>
  <c r="H344" i="1"/>
  <c r="F344" i="1"/>
  <c r="G343" i="1"/>
  <c r="C343" i="1"/>
  <c r="C336" i="1" s="1"/>
  <c r="C335" i="1" s="1"/>
  <c r="G342" i="1"/>
  <c r="F342" i="1" s="1"/>
  <c r="H341" i="1"/>
  <c r="H339" i="1" s="1"/>
  <c r="G341" i="1"/>
  <c r="F341" i="1" s="1"/>
  <c r="G340" i="1"/>
  <c r="F340" i="1" s="1"/>
  <c r="H338" i="1"/>
  <c r="F338" i="1"/>
  <c r="G337" i="1"/>
  <c r="H337" i="1" s="1"/>
  <c r="F334" i="1"/>
  <c r="H333" i="1"/>
  <c r="G333" i="1"/>
  <c r="F333" i="1"/>
  <c r="F332" i="1"/>
  <c r="H331" i="1"/>
  <c r="F331" i="1"/>
  <c r="F330" i="1"/>
  <c r="F329" i="1"/>
  <c r="G328" i="1"/>
  <c r="F328" i="1" s="1"/>
  <c r="F327" i="1"/>
  <c r="F326" i="1"/>
  <c r="F325" i="1"/>
  <c r="F324" i="1"/>
  <c r="F323" i="1"/>
  <c r="F322" i="1"/>
  <c r="F321" i="1"/>
  <c r="F320" i="1"/>
  <c r="G319" i="1"/>
  <c r="F319" i="1" s="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G282" i="1"/>
  <c r="F282" i="1" s="1"/>
  <c r="G281" i="1"/>
  <c r="F281" i="1" s="1"/>
  <c r="F280" i="1"/>
  <c r="F279" i="1"/>
  <c r="F278" i="1"/>
  <c r="F277" i="1"/>
  <c r="F276" i="1"/>
  <c r="F275" i="1"/>
  <c r="F274" i="1"/>
  <c r="F273" i="1"/>
  <c r="F272" i="1"/>
  <c r="F271" i="1"/>
  <c r="F270" i="1"/>
  <c r="G269"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H243" i="1"/>
  <c r="H242" i="1" s="1"/>
  <c r="H241" i="1" s="1"/>
  <c r="C243" i="1"/>
  <c r="C242" i="1" s="1"/>
  <c r="H240" i="1"/>
  <c r="F240" i="1"/>
  <c r="G239" i="1"/>
  <c r="H239" i="1" s="1"/>
  <c r="H238" i="1"/>
  <c r="F238" i="1"/>
  <c r="G237" i="1"/>
  <c r="H237" i="1" s="1"/>
  <c r="H236" i="1"/>
  <c r="F236" i="1"/>
  <c r="H235" i="1"/>
  <c r="F235" i="1"/>
  <c r="H234" i="1"/>
  <c r="F234" i="1"/>
  <c r="H233" i="1"/>
  <c r="F233" i="1"/>
  <c r="H232" i="1"/>
  <c r="F232" i="1"/>
  <c r="H231" i="1"/>
  <c r="F231" i="1"/>
  <c r="H230" i="1"/>
  <c r="F230" i="1"/>
  <c r="H229" i="1"/>
  <c r="F229" i="1"/>
  <c r="H228" i="1"/>
  <c r="F228" i="1"/>
  <c r="H227" i="1"/>
  <c r="F227" i="1"/>
  <c r="H226" i="1"/>
  <c r="F226" i="1"/>
  <c r="H225" i="1"/>
  <c r="F225" i="1"/>
  <c r="G224" i="1"/>
  <c r="H224" i="1" s="1"/>
  <c r="C224" i="1"/>
  <c r="C214" i="1" s="1"/>
  <c r="C213" i="1" s="1"/>
  <c r="H223" i="1"/>
  <c r="F223" i="1"/>
  <c r="G222" i="1"/>
  <c r="H222" i="1" s="1"/>
  <c r="F222" i="1"/>
  <c r="H221" i="1"/>
  <c r="H219" i="1" s="1"/>
  <c r="F221" i="1"/>
  <c r="F220" i="1"/>
  <c r="G219" i="1"/>
  <c r="F219" i="1" s="1"/>
  <c r="F218" i="1"/>
  <c r="F217" i="1"/>
  <c r="F216" i="1"/>
  <c r="H215" i="1"/>
  <c r="G215" i="1"/>
  <c r="F215" i="1" s="1"/>
  <c r="H212" i="1"/>
  <c r="F212" i="1"/>
  <c r="G211" i="1"/>
  <c r="F211" i="1" s="1"/>
  <c r="H210" i="1"/>
  <c r="F210" i="1"/>
  <c r="G209" i="1"/>
  <c r="H209" i="1" s="1"/>
  <c r="H208" i="1"/>
  <c r="F208" i="1"/>
  <c r="G207" i="1"/>
  <c r="H207" i="1" s="1"/>
  <c r="H206" i="1"/>
  <c r="F206" i="1"/>
  <c r="H205" i="1"/>
  <c r="F205" i="1"/>
  <c r="H204" i="1"/>
  <c r="F204" i="1"/>
  <c r="H203" i="1"/>
  <c r="F203" i="1"/>
  <c r="G202" i="1"/>
  <c r="C202" i="1"/>
  <c r="H201" i="1"/>
  <c r="H200" i="1" s="1"/>
  <c r="F201" i="1"/>
  <c r="G200" i="1"/>
  <c r="F200" i="1" s="1"/>
  <c r="C199" i="1"/>
  <c r="G197" i="1"/>
  <c r="H197" i="1" s="1"/>
  <c r="H190" i="1" s="1"/>
  <c r="F196" i="1"/>
  <c r="F195" i="1"/>
  <c r="F194" i="1"/>
  <c r="F193" i="1"/>
  <c r="F192" i="1"/>
  <c r="F191" i="1"/>
  <c r="G189" i="1"/>
  <c r="H189" i="1" s="1"/>
  <c r="H175" i="1" s="1"/>
  <c r="F188" i="1"/>
  <c r="F187" i="1"/>
  <c r="F186" i="1"/>
  <c r="F185" i="1"/>
  <c r="F184" i="1"/>
  <c r="F183" i="1"/>
  <c r="F182" i="1"/>
  <c r="F181" i="1"/>
  <c r="F180" i="1"/>
  <c r="F179" i="1"/>
  <c r="F178" i="1"/>
  <c r="F177" i="1"/>
  <c r="F176" i="1"/>
  <c r="C175" i="1"/>
  <c r="G174" i="1"/>
  <c r="H174" i="1" s="1"/>
  <c r="H169" i="1" s="1"/>
  <c r="F173" i="1"/>
  <c r="F172" i="1"/>
  <c r="F171" i="1"/>
  <c r="F170" i="1"/>
  <c r="C169" i="1"/>
  <c r="G166" i="1"/>
  <c r="F166" i="1" s="1"/>
  <c r="F165" i="1"/>
  <c r="F164" i="1"/>
  <c r="F163" i="1"/>
  <c r="F162" i="1"/>
  <c r="H161" i="1"/>
  <c r="C161" i="1"/>
  <c r="H160" i="1"/>
  <c r="F160" i="1"/>
  <c r="H159" i="1"/>
  <c r="F159" i="1"/>
  <c r="H158" i="1"/>
  <c r="F158" i="1"/>
  <c r="H157" i="1"/>
  <c r="F157" i="1"/>
  <c r="H156" i="1"/>
  <c r="F156" i="1"/>
  <c r="H155" i="1"/>
  <c r="F155" i="1"/>
  <c r="H154" i="1"/>
  <c r="F154" i="1"/>
  <c r="H153" i="1"/>
  <c r="F153" i="1"/>
  <c r="H152" i="1"/>
  <c r="F152" i="1"/>
  <c r="H151" i="1"/>
  <c r="F151" i="1"/>
  <c r="F150" i="1"/>
  <c r="F149" i="1"/>
  <c r="G148" i="1"/>
  <c r="C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H100" i="1"/>
  <c r="H94" i="1" s="1"/>
  <c r="G100" i="1"/>
  <c r="F100" i="1" s="1"/>
  <c r="F99" i="1"/>
  <c r="F98" i="1"/>
  <c r="F97" i="1"/>
  <c r="F96" i="1"/>
  <c r="G95" i="1"/>
  <c r="G94" i="1" s="1"/>
  <c r="C94" i="1"/>
  <c r="G93" i="1"/>
  <c r="H93" i="1" s="1"/>
  <c r="F92" i="1"/>
  <c r="F91" i="1"/>
  <c r="F90" i="1"/>
  <c r="F89" i="1"/>
  <c r="F88" i="1"/>
  <c r="F87" i="1"/>
  <c r="F86" i="1"/>
  <c r="F85" i="1"/>
  <c r="F84" i="1"/>
  <c r="F83" i="1"/>
  <c r="F82" i="1"/>
  <c r="F81" i="1"/>
  <c r="F80" i="1"/>
  <c r="F79" i="1"/>
  <c r="F78" i="1"/>
  <c r="K77" i="1"/>
  <c r="F77" i="1"/>
  <c r="F76" i="1"/>
  <c r="H75" i="1"/>
  <c r="G72" i="1"/>
  <c r="G64" i="1" s="1"/>
  <c r="J64" i="1" s="1"/>
  <c r="F72" i="1"/>
  <c r="F71" i="1"/>
  <c r="F70" i="1"/>
  <c r="F69" i="1"/>
  <c r="F68" i="1"/>
  <c r="K67" i="1"/>
  <c r="K66" i="1" s="1"/>
  <c r="K65" i="1" s="1"/>
  <c r="F67" i="1"/>
  <c r="F66" i="1"/>
  <c r="F65" i="1"/>
  <c r="H64" i="1"/>
  <c r="C64" i="1"/>
  <c r="F63" i="1"/>
  <c r="H62" i="1"/>
  <c r="G62" i="1"/>
  <c r="C62" i="1"/>
  <c r="F61" i="1"/>
  <c r="H60" i="1"/>
  <c r="G60" i="1"/>
  <c r="F60" i="1"/>
  <c r="C60" i="1"/>
  <c r="G59" i="1"/>
  <c r="G57" i="1" s="1"/>
  <c r="C59" i="1"/>
  <c r="F58" i="1"/>
  <c r="H57" i="1"/>
  <c r="C57" i="1"/>
  <c r="F56" i="1"/>
  <c r="H55" i="1"/>
  <c r="G55" i="1"/>
  <c r="C55" i="1"/>
  <c r="G53" i="1"/>
  <c r="H53" i="1" s="1"/>
  <c r="J52" i="1"/>
  <c r="F52" i="1"/>
  <c r="L51" i="1"/>
  <c r="K51" i="1"/>
  <c r="H51" i="1"/>
  <c r="G51" i="1"/>
  <c r="J53" i="1" s="1"/>
  <c r="C51" i="1"/>
  <c r="F51" i="1" s="1"/>
  <c r="F50" i="1"/>
  <c r="H49" i="1"/>
  <c r="H48" i="1" s="1"/>
  <c r="G49" i="1"/>
  <c r="C49" i="1"/>
  <c r="G47" i="1"/>
  <c r="F47" i="1" s="1"/>
  <c r="F46" i="1"/>
  <c r="G45" i="1"/>
  <c r="H44" i="1"/>
  <c r="H43" i="1" s="1"/>
  <c r="H42" i="1" s="1"/>
  <c r="F44" i="1"/>
  <c r="C43" i="1"/>
  <c r="C42" i="1" s="1"/>
  <c r="F41" i="1"/>
  <c r="H40" i="1"/>
  <c r="G40" i="1"/>
  <c r="C40" i="1"/>
  <c r="F39" i="1"/>
  <c r="H38" i="1"/>
  <c r="G38" i="1"/>
  <c r="C38" i="1"/>
  <c r="G37" i="1"/>
  <c r="H37" i="1" s="1"/>
  <c r="F36" i="1"/>
  <c r="F35" i="1"/>
  <c r="H34" i="1"/>
  <c r="C34" i="1"/>
  <c r="F32" i="1"/>
  <c r="H31" i="1"/>
  <c r="G31" i="1"/>
  <c r="F31" i="1"/>
  <c r="F30" i="1"/>
  <c r="H29" i="1"/>
  <c r="G29" i="1"/>
  <c r="F29" i="1" s="1"/>
  <c r="F28" i="1"/>
  <c r="H27" i="1"/>
  <c r="G27" i="1"/>
  <c r="F27" i="1" s="1"/>
  <c r="C26" i="1"/>
  <c r="F25" i="1"/>
  <c r="H24" i="1"/>
  <c r="H23" i="1" s="1"/>
  <c r="G24" i="1"/>
  <c r="G23" i="1" s="1"/>
  <c r="C24" i="1"/>
  <c r="C23" i="1" s="1"/>
  <c r="F22" i="1"/>
  <c r="H21" i="1"/>
  <c r="G21" i="1"/>
  <c r="C21" i="1"/>
  <c r="F21" i="1" s="1"/>
  <c r="F20" i="1"/>
  <c r="H19" i="1"/>
  <c r="G19" i="1"/>
  <c r="C19" i="1"/>
  <c r="F18" i="1"/>
  <c r="H17" i="1"/>
  <c r="H14" i="1" s="1"/>
  <c r="G17" i="1"/>
  <c r="C17" i="1"/>
  <c r="F16" i="1"/>
  <c r="H15" i="1"/>
  <c r="G15" i="1"/>
  <c r="C15" i="1"/>
  <c r="F15" i="1" s="1"/>
  <c r="F13" i="1"/>
  <c r="H12" i="1"/>
  <c r="G12" i="1"/>
  <c r="F12" i="1" s="1"/>
  <c r="G11" i="1"/>
  <c r="G10" i="1" s="1"/>
  <c r="F11" i="1"/>
  <c r="H10" i="1"/>
  <c r="H9" i="1" s="1"/>
  <c r="C9" i="1"/>
  <c r="G397" i="1" l="1"/>
  <c r="G392" i="1" s="1"/>
  <c r="G391" i="1" s="1"/>
  <c r="F740" i="1"/>
  <c r="F771" i="1"/>
  <c r="F855" i="1"/>
  <c r="H855" i="1"/>
  <c r="F914" i="1"/>
  <c r="G917" i="1"/>
  <c r="F920" i="1"/>
  <c r="G175" i="1"/>
  <c r="F175" i="1" s="1"/>
  <c r="H918" i="1"/>
  <c r="H917" i="1" s="1"/>
  <c r="F772" i="1"/>
  <c r="G881" i="1"/>
  <c r="G880" i="1" s="1"/>
  <c r="F880" i="1" s="1"/>
  <c r="F412" i="1"/>
  <c r="C14" i="1"/>
  <c r="H26" i="1"/>
  <c r="F40" i="1"/>
  <c r="H888" i="1"/>
  <c r="F918" i="1"/>
  <c r="F917" i="1"/>
  <c r="H47" i="1"/>
  <c r="G896" i="1"/>
  <c r="F896" i="1" s="1"/>
  <c r="F49" i="1"/>
  <c r="G75" i="1"/>
  <c r="F75" i="1" s="1"/>
  <c r="E100" i="1"/>
  <c r="F237" i="1"/>
  <c r="F343" i="1"/>
  <c r="H393" i="1"/>
  <c r="H392" i="1" s="1"/>
  <c r="H391" i="1" s="1"/>
  <c r="H871" i="1"/>
  <c r="F19" i="1"/>
  <c r="F38" i="1"/>
  <c r="F59" i="1"/>
  <c r="F189" i="1"/>
  <c r="G871" i="1"/>
  <c r="F871" i="1" s="1"/>
  <c r="G26" i="1"/>
  <c r="F26" i="1" s="1"/>
  <c r="F62" i="1"/>
  <c r="E93" i="1"/>
  <c r="H148" i="1"/>
  <c r="H74" i="1" s="1"/>
  <c r="H73" i="1" s="1"/>
  <c r="H202" i="1"/>
  <c r="F732" i="1"/>
  <c r="H33" i="1"/>
  <c r="F93" i="1"/>
  <c r="F148" i="1"/>
  <c r="F197" i="1"/>
  <c r="F202" i="1"/>
  <c r="H343" i="1"/>
  <c r="F393" i="1"/>
  <c r="G54" i="1"/>
  <c r="J57" i="1"/>
  <c r="F57" i="1"/>
  <c r="G214" i="1"/>
  <c r="F214" i="1" s="1"/>
  <c r="G761" i="1"/>
  <c r="F761" i="1" s="1"/>
  <c r="G791" i="1"/>
  <c r="F94" i="1"/>
  <c r="G14" i="1"/>
  <c r="F24" i="1"/>
  <c r="H166" i="1"/>
  <c r="G199" i="1"/>
  <c r="G198" i="1" s="1"/>
  <c r="F224" i="1"/>
  <c r="G339" i="1"/>
  <c r="F339" i="1" s="1"/>
  <c r="H889" i="1"/>
  <c r="C33" i="1"/>
  <c r="G43" i="1"/>
  <c r="G42" i="1" s="1"/>
  <c r="F42" i="1" s="1"/>
  <c r="C54" i="1"/>
  <c r="J166" i="1"/>
  <c r="K166" i="1" s="1"/>
  <c r="F209" i="1"/>
  <c r="F239" i="1"/>
  <c r="F337" i="1"/>
  <c r="C415" i="1"/>
  <c r="C414" i="1" s="1"/>
  <c r="G890" i="1"/>
  <c r="F890" i="1" s="1"/>
  <c r="C895" i="1"/>
  <c r="H914" i="1"/>
  <c r="H912" i="1" s="1"/>
  <c r="H911" i="1" s="1"/>
  <c r="G243" i="1"/>
  <c r="G242" i="1" s="1"/>
  <c r="G241" i="1" s="1"/>
  <c r="C392" i="1"/>
  <c r="C391" i="1" s="1"/>
  <c r="H791" i="1"/>
  <c r="H415" i="1" s="1"/>
  <c r="H414" i="1" s="1"/>
  <c r="H54" i="1"/>
  <c r="F37" i="1"/>
  <c r="F64" i="1"/>
  <c r="H72" i="1"/>
  <c r="C74" i="1"/>
  <c r="C73" i="1" s="1"/>
  <c r="G161" i="1"/>
  <c r="F161" i="1" s="1"/>
  <c r="C198" i="1"/>
  <c r="G470" i="1"/>
  <c r="F470" i="1" s="1"/>
  <c r="G749" i="1"/>
  <c r="F749" i="1" s="1"/>
  <c r="H45" i="2"/>
  <c r="H42" i="2" s="1"/>
  <c r="F139" i="2"/>
  <c r="F330" i="2"/>
  <c r="I330" i="2"/>
  <c r="G329" i="2"/>
  <c r="G328" i="2" s="1"/>
  <c r="F356" i="2"/>
  <c r="H21" i="2"/>
  <c r="F60" i="2"/>
  <c r="B144" i="2"/>
  <c r="H818" i="2"/>
  <c r="B4" i="2"/>
  <c r="F130" i="2"/>
  <c r="B128" i="2"/>
  <c r="B346" i="2"/>
  <c r="J815" i="2"/>
  <c r="G814" i="2"/>
  <c r="F814" i="2" s="1"/>
  <c r="H815" i="2"/>
  <c r="F329" i="2"/>
  <c r="F753" i="2"/>
  <c r="F807" i="2"/>
  <c r="B806" i="2"/>
  <c r="H347" i="2"/>
  <c r="H346" i="2" s="1"/>
  <c r="G60" i="2"/>
  <c r="G50" i="2" s="1"/>
  <c r="F50" i="2" s="1"/>
  <c r="G35" i="2"/>
  <c r="H35" i="2" s="1"/>
  <c r="H75" i="2"/>
  <c r="H71" i="2" s="1"/>
  <c r="H70" i="2" s="1"/>
  <c r="H69" i="2" s="1"/>
  <c r="G145" i="2"/>
  <c r="G144" i="2" s="1"/>
  <c r="B279" i="2"/>
  <c r="G322" i="2"/>
  <c r="G783" i="2"/>
  <c r="B788" i="2"/>
  <c r="G800" i="2"/>
  <c r="F6" i="2"/>
  <c r="H16" i="2"/>
  <c r="H24" i="2"/>
  <c r="H33" i="2"/>
  <c r="H41" i="2"/>
  <c r="F43" i="2"/>
  <c r="H47" i="2"/>
  <c r="F49" i="2"/>
  <c r="F55" i="2"/>
  <c r="G93" i="2"/>
  <c r="G139" i="2"/>
  <c r="G129" i="2" s="1"/>
  <c r="H158" i="2"/>
  <c r="H148" i="2" s="1"/>
  <c r="H160" i="2"/>
  <c r="H162" i="2"/>
  <c r="H324" i="2"/>
  <c r="H326" i="2"/>
  <c r="F348" i="2"/>
  <c r="G356" i="2"/>
  <c r="H432" i="2"/>
  <c r="H356" i="2" s="1"/>
  <c r="F808" i="2"/>
  <c r="F819" i="2"/>
  <c r="F36" i="2"/>
  <c r="G39" i="2"/>
  <c r="G38" i="2" s="1"/>
  <c r="F38" i="2" s="1"/>
  <c r="G45" i="2"/>
  <c r="F58" i="2"/>
  <c r="B71" i="2"/>
  <c r="F142" i="2"/>
  <c r="F146" i="2"/>
  <c r="F159" i="2"/>
  <c r="F161" i="2"/>
  <c r="F163" i="2"/>
  <c r="F323" i="2"/>
  <c r="F325" i="2"/>
  <c r="F327" i="2"/>
  <c r="J432" i="2"/>
  <c r="G686" i="2"/>
  <c r="F686" i="2" s="1"/>
  <c r="G753" i="2"/>
  <c r="I753" i="2" s="1"/>
  <c r="F784" i="2"/>
  <c r="F801" i="2"/>
  <c r="F816" i="2"/>
  <c r="G5" i="2"/>
  <c r="G21" i="2"/>
  <c r="F21" i="2" s="1"/>
  <c r="H29" i="2"/>
  <c r="H51" i="2"/>
  <c r="H50" i="2" s="1"/>
  <c r="H169" i="2"/>
  <c r="H168" i="2" s="1"/>
  <c r="H167" i="2" s="1"/>
  <c r="B180" i="2"/>
  <c r="F180" i="2" s="1"/>
  <c r="F295" i="2"/>
  <c r="F815" i="2"/>
  <c r="H816" i="2"/>
  <c r="G181" i="2"/>
  <c r="G180" i="2" s="1"/>
  <c r="B328" i="2"/>
  <c r="F328" i="2" s="1"/>
  <c r="G452" i="2"/>
  <c r="I452" i="2" s="1"/>
  <c r="G492" i="2"/>
  <c r="I492" i="2" s="1"/>
  <c r="G9" i="1"/>
  <c r="F9" i="1" s="1"/>
  <c r="F10" i="1"/>
  <c r="C241" i="1"/>
  <c r="C870" i="1"/>
  <c r="F912" i="1"/>
  <c r="G911" i="1"/>
  <c r="H168" i="1"/>
  <c r="H167" i="1" s="1"/>
  <c r="F23" i="1"/>
  <c r="F791" i="1"/>
  <c r="F17" i="1"/>
  <c r="F45" i="1"/>
  <c r="C48" i="1"/>
  <c r="F53" i="1"/>
  <c r="C168" i="1"/>
  <c r="G169" i="1"/>
  <c r="F174" i="1"/>
  <c r="G190" i="1"/>
  <c r="F190" i="1" s="1"/>
  <c r="F207" i="1"/>
  <c r="H211" i="1"/>
  <c r="G388" i="1"/>
  <c r="F388" i="1" s="1"/>
  <c r="F464" i="1"/>
  <c r="F428" i="1" s="1"/>
  <c r="H543" i="1"/>
  <c r="F804" i="1"/>
  <c r="F881" i="1"/>
  <c r="F891" i="1"/>
  <c r="J51" i="1"/>
  <c r="G428" i="1"/>
  <c r="G48" i="1"/>
  <c r="F389" i="1"/>
  <c r="F759" i="1"/>
  <c r="F872" i="1"/>
  <c r="G34" i="1"/>
  <c r="G33" i="1" s="1"/>
  <c r="G549" i="1"/>
  <c r="J549" i="1" s="1"/>
  <c r="H732" i="1"/>
  <c r="F55" i="1"/>
  <c r="H199" i="1" l="1"/>
  <c r="F14" i="1"/>
  <c r="F397" i="1"/>
  <c r="H895" i="1"/>
  <c r="F33" i="1"/>
  <c r="H8" i="1"/>
  <c r="H870" i="1"/>
  <c r="F54" i="1"/>
  <c r="F198" i="1"/>
  <c r="F241" i="1"/>
  <c r="F199" i="1"/>
  <c r="I892" i="1"/>
  <c r="F242" i="1"/>
  <c r="G895" i="1"/>
  <c r="F895" i="1" s="1"/>
  <c r="F43" i="1"/>
  <c r="F243" i="1"/>
  <c r="F391" i="1"/>
  <c r="G889" i="1"/>
  <c r="F889" i="1" s="1"/>
  <c r="G74" i="1"/>
  <c r="G73" i="1" s="1"/>
  <c r="F73" i="1" s="1"/>
  <c r="F392" i="1"/>
  <c r="H214" i="1"/>
  <c r="H213" i="1" s="1"/>
  <c r="G213" i="1"/>
  <c r="F213" i="1" s="1"/>
  <c r="H198" i="1"/>
  <c r="G128" i="2"/>
  <c r="F128" i="2" s="1"/>
  <c r="F129" i="2"/>
  <c r="J45" i="2"/>
  <c r="G42" i="2"/>
  <c r="F42" i="2" s="1"/>
  <c r="G4" i="2"/>
  <c r="F800" i="2"/>
  <c r="H800" i="2"/>
  <c r="J93" i="2"/>
  <c r="F93" i="2"/>
  <c r="F783" i="2"/>
  <c r="G782" i="2"/>
  <c r="H782" i="2" s="1"/>
  <c r="H783" i="2"/>
  <c r="F181" i="2"/>
  <c r="F35" i="2"/>
  <c r="B70" i="2"/>
  <c r="F71" i="2"/>
  <c r="F322" i="2"/>
  <c r="H322" i="2"/>
  <c r="F492" i="2"/>
  <c r="G28" i="2"/>
  <c r="F144" i="2"/>
  <c r="B276" i="2"/>
  <c r="F279" i="2"/>
  <c r="G276" i="2"/>
  <c r="G275" i="2" s="1"/>
  <c r="F5" i="2"/>
  <c r="F145" i="2"/>
  <c r="G347" i="2"/>
  <c r="I356" i="2"/>
  <c r="H788" i="2"/>
  <c r="F788" i="2"/>
  <c r="B782" i="2"/>
  <c r="H814" i="2"/>
  <c r="G806" i="2"/>
  <c r="H806" i="2" s="1"/>
  <c r="F45" i="2"/>
  <c r="G70" i="2"/>
  <c r="G69" i="2" s="1"/>
  <c r="F452" i="2"/>
  <c r="J686" i="2"/>
  <c r="I686" i="2"/>
  <c r="F39" i="2"/>
  <c r="F48" i="1"/>
  <c r="F549" i="1"/>
  <c r="G336" i="1"/>
  <c r="G415" i="1"/>
  <c r="G168" i="1"/>
  <c r="G167" i="1" s="1"/>
  <c r="F169" i="1"/>
  <c r="F34" i="1"/>
  <c r="C167" i="1"/>
  <c r="F911" i="1"/>
  <c r="G8" i="1"/>
  <c r="C8" i="1"/>
  <c r="F74" i="1" l="1"/>
  <c r="G870" i="1"/>
  <c r="F870" i="1" s="1"/>
  <c r="G346" i="2"/>
  <c r="F346" i="2" s="1"/>
  <c r="F347" i="2"/>
  <c r="F276" i="2"/>
  <c r="B275" i="2"/>
  <c r="F275" i="2" s="1"/>
  <c r="F782" i="2"/>
  <c r="H28" i="2"/>
  <c r="H4" i="2" s="1"/>
  <c r="F28" i="2"/>
  <c r="F4" i="2" s="1"/>
  <c r="F70" i="2"/>
  <c r="B69" i="2"/>
  <c r="F69" i="2" s="1"/>
  <c r="F806" i="2"/>
  <c r="G414" i="1"/>
  <c r="F414" i="1" s="1"/>
  <c r="F415" i="1"/>
  <c r="F8" i="1"/>
  <c r="F168" i="1"/>
  <c r="H336" i="1"/>
  <c r="G335" i="1"/>
  <c r="F335" i="1" s="1"/>
  <c r="F336" i="1"/>
  <c r="F167" i="1"/>
  <c r="H335" i="1" l="1"/>
</calcChain>
</file>

<file path=xl/sharedStrings.xml><?xml version="1.0" encoding="utf-8"?>
<sst xmlns="http://schemas.openxmlformats.org/spreadsheetml/2006/main" count="4131" uniqueCount="1738">
  <si>
    <t>DINAS PEKERJAAN UMUM DAN PENATAAN RUANG KABUPATEN TEGAL</t>
  </si>
  <si>
    <t>LAPORAN BULANAN PELAKSANAAN PENGADAAN BARANG/JASA (SWAKELOLA DAN PENYEDIA) TAHUN ANGGARAN 2024</t>
  </si>
  <si>
    <t>BULAN DESEMBER 2024</t>
  </si>
  <si>
    <t>Kode Rekening</t>
  </si>
  <si>
    <t>Program / Kegiatan / Sub Kegiatan / Paket Pekerjaan</t>
  </si>
  <si>
    <t>Pagu Anggaran (Rp.)</t>
  </si>
  <si>
    <t>Jenis Pengadaan 
Barang/
Jasa</t>
  </si>
  <si>
    <t>Sisa Anggaran (Rp.)</t>
  </si>
  <si>
    <t>Real Komulatif (Tertimbang)</t>
  </si>
  <si>
    <t>Nilai (Rp.)</t>
  </si>
  <si>
    <t>Keuangan (Rp)</t>
  </si>
  <si>
    <t>Fisik (%)</t>
  </si>
  <si>
    <t>1.03.01</t>
  </si>
  <si>
    <t>PROGRAM PENUNJANG URUSAN PEMERINTAHAN DAERAH KABUPATEN/KOTA</t>
  </si>
  <si>
    <t>1.03.01.2.01</t>
  </si>
  <si>
    <t>Perencanaan, Penganggaran, dan Evaluasi Kinerja Perangkat Daerah</t>
  </si>
  <si>
    <t xml:space="preserve">1.03.01.2.01.0001 </t>
  </si>
  <si>
    <t>Penyusunan Dokumen Perencanaan Perangkat Daerah</t>
  </si>
  <si>
    <t>1. Biaya Umum</t>
  </si>
  <si>
    <t>Swakelola</t>
  </si>
  <si>
    <t xml:space="preserve">1.03.01.2.01.0007 </t>
  </si>
  <si>
    <t>Evaluasi Kinerja Perangkat Daerah</t>
  </si>
  <si>
    <t>1.03.01.2.02</t>
  </si>
  <si>
    <t>Administrasi Keuangan Perangkat Daerah</t>
  </si>
  <si>
    <t xml:space="preserve">1.03.01.2.02.0001 </t>
  </si>
  <si>
    <t>Penyediaan Gaji dan Tunjangan ASN</t>
  </si>
  <si>
    <t xml:space="preserve">1.03.01.2.02.0002 </t>
  </si>
  <si>
    <t>Penyediaan Administrasi Pelaksanaan Tugas ASN</t>
  </si>
  <si>
    <t xml:space="preserve">1.03.01.2.02.0003 </t>
  </si>
  <si>
    <t>Pelaksanaan Penatausahaan dan Pengujian/Verifikasi Keuangan SKPD</t>
  </si>
  <si>
    <t xml:space="preserve">1.03.01.2.02.0007 </t>
  </si>
  <si>
    <t>Koordinasi dan Penyusunan Laporan Keuangan Bulanan/ Triwulanan/ Semesteran SKPD</t>
  </si>
  <si>
    <t>1.03.01.2.03</t>
  </si>
  <si>
    <t>Administrasi Barang Milik Daerah pada Perangkat Daerah</t>
  </si>
  <si>
    <t xml:space="preserve">1.03.01.2.03.0006 </t>
  </si>
  <si>
    <t>Penatausahaan Barang Milik Daerah pada SKPD</t>
  </si>
  <si>
    <t>1.03.01.2.05</t>
  </si>
  <si>
    <t>Administrasi Kepegawaian Perangkat Daerah</t>
  </si>
  <si>
    <t xml:space="preserve">1.03.01.2.05.0003 </t>
  </si>
  <si>
    <t>Pendataan dan Pengolahan Administrasi Kepegawaian</t>
  </si>
  <si>
    <t xml:space="preserve">1.03.01.2.05.0005 </t>
  </si>
  <si>
    <t>Monitoring, Evaluasi, dan Penilaian Kinerja Pegawai</t>
  </si>
  <si>
    <t xml:space="preserve">1.03.01.2.05.0009 </t>
  </si>
  <si>
    <t>Pendidikan dan Pelatihan Pegawai Berdasarkan Tugas dan Fungsi</t>
  </si>
  <si>
    <t>1.03.01.2.06</t>
  </si>
  <si>
    <t>Administrasi Umum Perangkat Daerah</t>
  </si>
  <si>
    <t xml:space="preserve">1.03.01.2.06.0004 </t>
  </si>
  <si>
    <t>Penyediaan Bahan Logistik Kantor</t>
  </si>
  <si>
    <t>1. Belanja Alat/Bahan untuk Kegiatan Kantor-Alat Tulis Kantor</t>
  </si>
  <si>
    <t>Kontraktual</t>
  </si>
  <si>
    <t>Barang</t>
  </si>
  <si>
    <t>2. Belanja Alat/Bahan untuk Kegiatan Kantor- Kertas dan Cover</t>
  </si>
  <si>
    <t>3. Biaya Umum</t>
  </si>
  <si>
    <t xml:space="preserve">1.03.01.2.06.0005 </t>
  </si>
  <si>
    <t>Penyediaan Barang Cetakan dan Penggandaan</t>
  </si>
  <si>
    <t xml:space="preserve">1.03.01.2.06.0006 </t>
  </si>
  <si>
    <t>Penyediaan Bahan Bacaan dan Peraturan Perundang-undangan</t>
  </si>
  <si>
    <t xml:space="preserve">1.03.01.2.07 </t>
  </si>
  <si>
    <t>Pengadaan Barang Milik Daerah Penunjang Urusan Pemerintah Daerah</t>
  </si>
  <si>
    <t xml:space="preserve">1.03.01.2.07.0006 </t>
  </si>
  <si>
    <t>Pengadaan Peralatan dan Mesin Lainnya</t>
  </si>
  <si>
    <t>1. Pengadaan Kendaraan Dinas Perorangan</t>
  </si>
  <si>
    <t>2. Pengadaan Personal Computer</t>
  </si>
  <si>
    <t>3. Pengadaan Peralatan dan Mesin Lainnya (Printer Tinta All In One Type 5)</t>
  </si>
  <si>
    <t>4. Biaya Umum</t>
  </si>
  <si>
    <t xml:space="preserve">1.03.01.2.08 </t>
  </si>
  <si>
    <t>Penyediaan Jasa Penunjang Urusan Pemerintahan Daerah</t>
  </si>
  <si>
    <t xml:space="preserve">1.03.01.2.08.0002 </t>
  </si>
  <si>
    <t>Penyediaan Jasa Komunikasi, Sumber Daya Air dan Listrik</t>
  </si>
  <si>
    <t xml:space="preserve">1.03.01.2.08.0004 </t>
  </si>
  <si>
    <t>Penyediaan Jasa Pelayanan Umum Kantor</t>
  </si>
  <si>
    <t>1. Belanja Jasa Tenaga Administrasi</t>
  </si>
  <si>
    <t>Jasa Lainnya</t>
  </si>
  <si>
    <t>2. Biaya Umum</t>
  </si>
  <si>
    <t xml:space="preserve">1.03.01.2.09 </t>
  </si>
  <si>
    <t>Pemeliharaan Barang Milik Daerah Penunjang Urusan Pemerintahan Daerah</t>
  </si>
  <si>
    <t>1.03.01.2.09.0002</t>
  </si>
  <si>
    <t>Penyediaan Jasa Pemeliharaan, Biaya Pemeliharaan, Pajak dan Perizinan Kendaraan Dinas Operasional atau Lapangan</t>
  </si>
  <si>
    <t xml:space="preserve">1.03.01.2.09.0003 </t>
  </si>
  <si>
    <t>Penyediaan Jasa Pemeliharaan, Biaya Pemeliharaan dan Perizinan Alat Besar</t>
  </si>
  <si>
    <t>1. Penyediaan Jasa Pemeliharaan, Biaya Pemeliharaan dan Perizinan Alat Besar</t>
  </si>
  <si>
    <t xml:space="preserve">1.03.01.2.09.0005 </t>
  </si>
  <si>
    <t>Pemeliharaan Mebel</t>
  </si>
  <si>
    <t xml:space="preserve">1.03.01.2.09.0006 </t>
  </si>
  <si>
    <t>Pemeliharaan Peralatan dan Mesin Lainnya</t>
  </si>
  <si>
    <t xml:space="preserve">  </t>
  </si>
  <si>
    <t xml:space="preserve">1.03.01.2.09.0009 </t>
  </si>
  <si>
    <t>Pemeliharaan/Rehabilitasi Gedung Kantor dan Bangunan Lainnya</t>
  </si>
  <si>
    <t>1. Pembangunan Gedung Arsip DPUPR Kabupaten Tegal</t>
  </si>
  <si>
    <t>Pekerjaan Konstruksi</t>
  </si>
  <si>
    <t>2. Pemeliharaan Ruang Bengkel Alat Berat DPUPR Kabupaten Tegal</t>
  </si>
  <si>
    <t>3. Pemeliharaan Gedung Kantor UPTD Pemeliharaan Jalan, Irigasi dan Penataan Bangunan Wilayah I</t>
  </si>
  <si>
    <t>4. Pemeliharaan Gedung Kantor UPTD Pemeliharaan Jalan, Irigasi dan Penataan Bangunan Wilayah II</t>
  </si>
  <si>
    <t>5. Pemeliharaan Gedung Kantor UPTD Pemeliharaan Jalan, Irigasi dan Penataan Bangunan Wilayah III</t>
  </si>
  <si>
    <t>6. Pemeliharaan Gedung Kantor UPTD Pemeliharaan Jalan, Irigasi dan Penataan Bangunan Wilayah IV</t>
  </si>
  <si>
    <t>7. Pemeliharaan Gedung Kantor UPTD Pemeliharaan Jalan, Irigasi dan Penataan Bangunan Wilayah V</t>
  </si>
  <si>
    <t>8. Biaya Umum</t>
  </si>
  <si>
    <t>1.03.02</t>
  </si>
  <si>
    <t>PROGRAM PENGELOLAAN SUMBER DAYA AIR (SDA)</t>
  </si>
  <si>
    <t xml:space="preserve">1.03.02.2.02 </t>
  </si>
  <si>
    <t>Pengembangan dan Pengelolaan Sistem Irigasi Primer dan Sekunder pada Daerah Irigasi yang Luasnya di Bawah 1000 Ha dalam 1 (Satu) Daerah Kabupaten/Kota</t>
  </si>
  <si>
    <t>1.03.02.2.02.0014</t>
  </si>
  <si>
    <t>Rehabilitasi Jaringan Irigasi Permukaan</t>
  </si>
  <si>
    <t>1. Rehabilitasi Jaringan Irigasi DI Jemaka II Desa Sitail Kec. Jatinegara</t>
  </si>
  <si>
    <t>2. Rehabilitasi Jaringan Irigasi DI Kembang IV Desa Cerih Kec. Jatinegara</t>
  </si>
  <si>
    <t>3. Rehabilitasi Jaringan Irigasi DI Demang Desa Argatawang Kec. Jatinegara</t>
  </si>
  <si>
    <t>4. Rehabilitasi Jaringan Irigasi DI Purut Desa Danareja Kec. Balapulang</t>
  </si>
  <si>
    <t>5. Rehabilitasi Jaringan Irigasi DI Pagerwangi II Desa Sesepan Kec. Balapulang</t>
  </si>
  <si>
    <t>6. Rehabilitasi Jaringan Irigasi DI Gonggo Desa Bukateja Kec. Balapulang</t>
  </si>
  <si>
    <t>7. Rehabilitasi Jaringan Irigasi DI Pasir II Desa Batuagung Kec. Balapulang</t>
  </si>
  <si>
    <t>8. Rehabilitasi Jaringan Irigasi DI Kelapa Desa Wanasari Kec. Margasari</t>
  </si>
  <si>
    <t>9. Rehabilitasi Jaringan Irigasi DI Awu Desa Rembul Kec. Bojong</t>
  </si>
  <si>
    <t>10. Rehabilitasi Jaringan Irigasi DI Lengkong Suplesi Karangjambu Desa Karangjambu Kec. Balapulang</t>
  </si>
  <si>
    <t>11. Rehabilitasi Jaringan Irigasi DI Sambong I Desa Tembongwah Kec. Balapulang</t>
  </si>
  <si>
    <t>12. Rehabilitasi Jaringan Irigasi DI Rosadi Desa Bojong Kec. Bojong</t>
  </si>
  <si>
    <t>13. Rehabilitasi Jaringan Irigasi DI Sigandul Desa Karangmulya Kec. Bojong</t>
  </si>
  <si>
    <t>14. Rehabilitasi Jaringan Irigasi DI Rajabawah Desa Cenggini Kec. Balapulang</t>
  </si>
  <si>
    <t>15. Rehabilitasi Jaringan Irigasi DI Bawangan Desa Bumijawa Kec. Bumijawa</t>
  </si>
  <si>
    <t>16. Rehabilitasi Jaringan Irigasi DI Situ Gi Desa Dukuhbenda Kec. Bumijawa</t>
  </si>
  <si>
    <t>17. Rehabilitasi Jaringan Irigasi DI Pule Cikura II Desa Cikura Kec. Bojong</t>
  </si>
  <si>
    <t>18. Biaya Umum</t>
  </si>
  <si>
    <t xml:space="preserve">1.03.02.2.02.0021 </t>
  </si>
  <si>
    <t>Operasi dan Pemeliharaan Jaringan Irigasi Permukaan</t>
  </si>
  <si>
    <t>1. Operasi dan Pemeliharaan Jar. Irigasi Permukaan (Honor PHL)</t>
  </si>
  <si>
    <t>2. Pengadaan Perlengkapan &amp; Pendukung Kerja Kantor/ Lapangan</t>
  </si>
  <si>
    <t>3. Perbaikkan Fasilitas Penunjang OP Jaringan Irigasi</t>
  </si>
  <si>
    <t>4. Pengadaan Bahan Banjiran</t>
  </si>
  <si>
    <t>5. Pengadaan Bahan Pengecat dan Pelumasan Fas. OP Irigasi</t>
  </si>
  <si>
    <t>6. Biaya Umum</t>
  </si>
  <si>
    <t>7. Pemeliharaan Jaringan Irigasi Kecamatan Jatinegara, Balapulang, Margasari, Bojong, Bumijawa :</t>
  </si>
  <si>
    <t>-</t>
  </si>
  <si>
    <t>8. Upah Tahap I :</t>
  </si>
  <si>
    <t>9. a. Pengadaan Upah Tenaga Pemeliharaan Jaringan Irigasi Tambaksela I Desa Lembahsari Kecamatan Jatinegara</t>
  </si>
  <si>
    <t>10. b. Pengadaan Upah Tenaga Pemeliharaan Jaringan Irigasi Wrigin I Desa Cerih Kec. Jatinegara</t>
  </si>
  <si>
    <t>11. c. Pengadaan Upah Tenaga Pemeliharaan Jaringan Irigasi Gondang 1 Desa Argatawang Kec. Jatinegara</t>
  </si>
  <si>
    <t>12. d. Pengadaan Upah Tenaga Pemeliharaan Jaringan Irigasi Sempor desa Gantungan Kec. Jatinegara</t>
  </si>
  <si>
    <t>13. e. Pengadaan Upah Tenaga Pemeliharaan Jaringan Irigasi Batu cs. Desa Harjawinangun Kec. Balapulang</t>
  </si>
  <si>
    <t>14. f. Pengadaan Upah Tenaga Pemeliharaan Jaringan Irigasi Pugang gereng Desa Batuagung Kec. Balapulang</t>
  </si>
  <si>
    <t>15. g. Pengadaan Upah Tenaga Pemeliharaan Jaringan Irigasi Aur Desa Harjowinangun Kec. Balapulang</t>
  </si>
  <si>
    <t>16. h. Pengadaan Upah Tenaga Pemeliharaan Bangunan Suplesi Rajabawah Desa Cenggini Kec. Balapulang</t>
  </si>
  <si>
    <t>17. i. Pengadaan Upah Tenaga Pemeliharaan Jaringan Irigasi Pondoh Desa Wanasari Kec. Margasari</t>
  </si>
  <si>
    <t>18. j. Pengadaan Upah Tenaga Pemeliharaan Jaringan Irigasi Kali Rucah Desa Kaligayam Kec. Margasari</t>
  </si>
  <si>
    <t>19. k. Pengadaan Upah Tenaga Pemeliharaan Jaringan Irigasi Kalisurat Desa Wanasari Kec. Margasari</t>
  </si>
  <si>
    <t>20. l. Pengadaan Upah Tenaga Pemeliharaan Jaringan Irigasi Batuireng Desa Kaligayam Kec. Margasari</t>
  </si>
  <si>
    <t>21. Upah Tahap II :</t>
  </si>
  <si>
    <t>22. a. Pengadaan Upah Tenaga Pemeliharaan Jaringan Irigasi Kemaron 6 Desa Tuwel Kec. Bojong</t>
  </si>
  <si>
    <t>23. b. Pengadaan Upah Tenaga Pemeliharaan Jaringan Irigasi Nutugmulya Desa Cilongok Kec. Bojong</t>
  </si>
  <si>
    <t>24. c. Pengadaan Upah Tenaga Pemeliharaan Jaringan Sekunder Erang Desa Bojong Kec. Bojong</t>
  </si>
  <si>
    <t>25. d. Pengadaan Upah Tenaga Pemeliharaan Jaringan Irigasi Sangka Desa Kajenengan Kec. Bojong</t>
  </si>
  <si>
    <t>26. e. Pengadaan Upah Tenaga Pemeliharaan Jaringan Irigasi Karangjambu 2 Desa Karangjambu Kec. Bojong</t>
  </si>
  <si>
    <t>27. f. Pengadaan Upah Tenaga Pemeliharaan Jaringan Irigasi Pagerkasih Desa Pagerkasih Kec. Bumijawa</t>
  </si>
  <si>
    <t>28. g. Pengadaan Upah Tenaga Pemeliharaan Jaringan Irigasi Winong Desa Kjejeg Kec. Bumijawa</t>
  </si>
  <si>
    <t>29. h. Pengadaan Upah Tenaga Pemeliharaan Jaringan Irigasi Telaga Kiri Desa Begawat Kec. Bumijawa</t>
  </si>
  <si>
    <t>30. i. Pengadaan Upah Tenaga Pemeliharaan Jaringan Irigasi Prupuk Desa Gunung Agung Kec. Bumijawa</t>
  </si>
  <si>
    <t>31. Bahan Tahap I :</t>
  </si>
  <si>
    <t>32. Pengadaan Bahan/ Material Pemeliharaan Jaringan Irigasi Tambaksela I Desa Lembahsari Kecamatan Jatinegara</t>
  </si>
  <si>
    <t>33. Pengadaan Bahan/ Material Pemeliharaan Jaringan Irigasi Wrigin I Desa Cerih Kec. Jatinegara</t>
  </si>
  <si>
    <t>34. Pengadaan Upah Tenaga Pemeliharaan Jaringan Irigasi Gondang 1 Desa Argatawang Kec. Jatinegara</t>
  </si>
  <si>
    <t>35. Pengadaan Bahan/ Material Pemeliharaan Jaringan Irigasi Sempor desa Gantungan Kec. Jatinegara</t>
  </si>
  <si>
    <t>36. Pengadaan Bahan/ Material Pemeliharaan Jaringan Irigasi Batu cs. Desa Harjawinangun Kec. Balapulang</t>
  </si>
  <si>
    <t>37. Pengadaan Bahan/ Material Pemeliharaan Jaringan Irigasi Pugang gereng Desa Batuagung Kec. Balapulang</t>
  </si>
  <si>
    <t>38. Pengadaan Bahan/ Material Pemeliharaan Jaringan Irigasi Aur Desa Harjowinangun Kec. Balapulang</t>
  </si>
  <si>
    <t>39. Pengadaan Bahan/ Material Pemeliharaan Bangunan Suplesi Rajabawah Desa Cenggini Kec. Balapulang</t>
  </si>
  <si>
    <t>40. Pengadaan Bahan/ Material Pemeliharaan Jaringan Irigasi Pondoh Desa Wanasari Kec. Margasari</t>
  </si>
  <si>
    <t>41. Pengadaan Bahan/ Material Pemeliharaan Jaringan Irigasi Kali Rucah Desa Kaligayam Kec. Margasari</t>
  </si>
  <si>
    <t>42. Pengadaan Bahan/ Material Pemeliharaan Jaringan Irigasi Kalisurat Desa Wanasari Kec. Margasari</t>
  </si>
  <si>
    <t>43. Pengadaan Bahan/ Material Pemeliharaan Jaringan Irigasi Batuireng Desa Kaligayam Kec. Margasari</t>
  </si>
  <si>
    <t>44. Bahan Tahap II :</t>
  </si>
  <si>
    <t>45. Pengadaan Bahan/ Material Pemeliharaan Jaringan Irigasi Kemaron 6 Desa Tuwel Kec. Bojong</t>
  </si>
  <si>
    <t>46. Pengadaan Bahan/ Material Pemeliharaan Jaringan Irigasi Nutugmulya Desa Cilongok Kec. Bojong</t>
  </si>
  <si>
    <t>47. Pengadaan Bahan/ Material Pemeliharaan Jaringan Sekunder Erang Desa Bojong Kec. Bojong</t>
  </si>
  <si>
    <t>48. Pengadaan Bahan/ Material Pemeliharaan Jaringan Irigasi Sangka Desa Kajenengan Kec. Bojong</t>
  </si>
  <si>
    <t>49. Pengadaan Bahan/ Material Pemeliharaan Bangunan Karangjambu 2 Desa Karangjambu Kec. Bojong</t>
  </si>
  <si>
    <t>50. Pengadaan Bahan/ Material Pemeliharaan Jaringan Irigasi Pagerkasih Desa Pagerkasih Kec. Bumijawa</t>
  </si>
  <si>
    <t>51. Pengadaan Bahan/ Material Pemeliharaan Jaringan Irigasi Winong Desa Kjejeg Kec. Bumijawa</t>
  </si>
  <si>
    <t>52. Pengadaan Bahan/ Material Pemeliharaan Jaringan Irigasi Telaga Kiri Desa Begawat Kec. Bumijawa</t>
  </si>
  <si>
    <t>53. Pengadaan Bahan/ Material Pemeliharaan Jaringan Irigasi Prupuk Desa Gunung Agung Kec. Bumijawa</t>
  </si>
  <si>
    <t xml:space="preserve">1.03.02.2.02.0032 </t>
  </si>
  <si>
    <t>Pengelolaan dan Pengawasan Alokasi Air Irigasi</t>
  </si>
  <si>
    <t>1. Pengelolaan dan Pengawasan Alokasi Air Irigasi :</t>
  </si>
  <si>
    <t>2. Belanja Honor Pembantu, Pembantu Bendahara Pengeluaran, Penanggung Jawaban Pengelola Keuangan</t>
  </si>
  <si>
    <t>3. Belanja ATK</t>
  </si>
  <si>
    <t>4. Belanja Kertas dan Cover</t>
  </si>
  <si>
    <t>5. Belanja Cetak / Penggandaan</t>
  </si>
  <si>
    <t>6. Belanja Materai</t>
  </si>
  <si>
    <t>7. Belanja Makan dan Minum Rapat</t>
  </si>
  <si>
    <t>8. Honorarium Narasumber / Pembahas Moderator</t>
  </si>
  <si>
    <t>9. Honorarium Tim Pelaksana Kegiatan &amp; Sekretariat</t>
  </si>
  <si>
    <t>10. Belanja Perjalanan Dinas Biasa</t>
  </si>
  <si>
    <t>11. Belanja Perjalan Dinas dalam kota</t>
  </si>
  <si>
    <t>12. Belanja jasa yang diberikan kepada Pihak ke Tiga/ Pihak Lain (Uang saku Non PNS)</t>
  </si>
  <si>
    <t xml:space="preserve">1.03.02.2.02.0035 </t>
  </si>
  <si>
    <t>Penyusunan Rencana Teknis dan Dokumen Lingkungan Hidup untuk Konstruksi Irigasi dan Rawa</t>
  </si>
  <si>
    <t>1. Review DED Jaringan Irigasi DI Pesunyan (Kec. Jatinegara)</t>
  </si>
  <si>
    <t>Jasa Konsultansi</t>
  </si>
  <si>
    <t>2. Review DED Jaringan Irigasi DI Bawangan (Kec. Bumijawa)</t>
  </si>
  <si>
    <t>3. DED Jaringan Irigasi DI Ontong (Kec. Bojong)</t>
  </si>
  <si>
    <t>4. DED Jaringan Irigasi DI Situ Gi (Kec. Bumijawa)</t>
  </si>
  <si>
    <t>5. Biaya Umum</t>
  </si>
  <si>
    <t>1.03.03</t>
  </si>
  <si>
    <t>PROGRAM PENGELOLAAN DAN PENGEMBANGAN SISTEM PENYEDIAAN AIR MINUM</t>
  </si>
  <si>
    <t xml:space="preserve">1.03.03.2.01 </t>
  </si>
  <si>
    <t>Pengelolaan dan Pengembangan Sistem Penyediaan Air Minum (SPAM) di Daerah Kabupaten/Kota</t>
  </si>
  <si>
    <t xml:space="preserve">1.03.03.2.01.0025 </t>
  </si>
  <si>
    <t>Penyusunan Rencana, Kebijakan, Strategi dan Teknis Sistem Penyediaan Air Minum (SPAM)</t>
  </si>
  <si>
    <t>1. DED Perencanaan Air Minum 2025</t>
  </si>
  <si>
    <t>2. Pengawasan Peningkatan SPAM Jaringan Perpipaan Desa Dukuhtengah Kecamatan Bojong</t>
  </si>
  <si>
    <t>3. Perencanaan Perluasan SPAM Jaringan Perpipaan di Kawasan Perdesaan (DAK)</t>
  </si>
  <si>
    <t>4. Belanja Jasa Tenaga Administrasi</t>
  </si>
  <si>
    <t xml:space="preserve">1.03.03.2.01.0028 </t>
  </si>
  <si>
    <t>Pembangunan Sistem Penyediaan Air Minum (SPAM) Jaringan Perpipaan</t>
  </si>
  <si>
    <t>1. Jasa Konsultan Perencanaan Penataan Jaringan Air Bersih di RT 04 RW 03 Desa Bumijawa Kec. Bumijawa</t>
  </si>
  <si>
    <t>2. Jasa Konsultan Pengawasan Penataan Jaringan Air Bersih di RT 04 RW 03 Desa Bumijawa Kec. Bumijawa</t>
  </si>
  <si>
    <t>3. Penataan Jaringan Air Bersih di RT 04 RW 03 Desa Bumijawa Kec. Bumijawa</t>
  </si>
  <si>
    <t>4. Jasa Konsultan Perencanaan Penataan Jaringan Air Bersih di RW 06 Desa Bumijawa Kec. Bumijawa</t>
  </si>
  <si>
    <t>5. Jasa Konsultan Pengawasan Penataan Jaringan Air Bersih di RW 06 Desa Bumijawa Kec. Bumijawa</t>
  </si>
  <si>
    <t>6. Penataan Jaringan Air Bersih di RW 06 Desa Bumijawa Kec. Bumijawa</t>
  </si>
  <si>
    <t>7. Perencanaan Peningkatan SPAM Jaringan Perpipaan Desa Dukuhtengah Kecamatan Bojong</t>
  </si>
  <si>
    <t>8. Peningkatan SPAM Jaringan Perpipaan Desa Dukuhtengah Kecamatan Bojong</t>
  </si>
  <si>
    <t>9. Jasa Konsultan Pengawasan Perluasan SPAM Jaringan Perpipaan Desa Balaradin Kecamatan Lebaksiu</t>
  </si>
  <si>
    <t>10. Jasa Konsultan Pengawasan Perluasan SPAM Jaringan Perpipaan Desa Dukuhdamu Kecamatan Lebaksiu</t>
  </si>
  <si>
    <t>11. Jasa Konsultan Pengawasan Perluasan SPAM Jaringan Perpipaan Desa Dukuhwaru Kecamatan Dukuhwaru</t>
  </si>
  <si>
    <t>12. Jasa Konsultan Pengawasan Perluasan SPAM Jaringan Perpipaan Desa Setu Kecamatan Tarub</t>
  </si>
  <si>
    <t>13. Belanja Jasa Tenaga Administrasi</t>
  </si>
  <si>
    <t>14. Biaya Umum</t>
  </si>
  <si>
    <t>1.03.03.2.01.0032</t>
  </si>
  <si>
    <t>Perluasan Sistem Penyediaan Air Minum (SPAM) Jaringan Perpipaan</t>
  </si>
  <si>
    <t>1. Perluasan SPAM Jaringan Perpipaan Desa Balaradin Kecamatan Lebaksiu (DAK)</t>
  </si>
  <si>
    <t>2. Perluasan SPAM Jaringan Perpipaan Desa Dukuhdamu Kecamatan Lebaksiu (DAK)</t>
  </si>
  <si>
    <t>3. Perluasan SPAM Jaringan Perpipaan Desa Dukuhwaru Kecamatan Dukuhwaru (DAK)</t>
  </si>
  <si>
    <t>4. Perluasan SPAM Jaringan Perpipaan Desa Karangjambu Kecamatan Balapulang (DAK)</t>
  </si>
  <si>
    <t>5. Perluasan SPAM Jaringan Perpipaan Desa Setu Kecamatan Tarub (DAK)</t>
  </si>
  <si>
    <t>6. Jasa Konsultan Pengawasan Perluasan SPAM Jaringan Perpipaan Desa Karangjambu Kecamatan Balapulang (DAK)</t>
  </si>
  <si>
    <t>7. Biaya Umum</t>
  </si>
  <si>
    <t>1.03.04</t>
  </si>
  <si>
    <t>PROGRAM PENGEMBANGAN SISTEM DAN PENGELOLAAN PERSAMPAHAN REGIONAL</t>
  </si>
  <si>
    <t xml:space="preserve">1.03.04.2.01 </t>
  </si>
  <si>
    <t>Pengembangan Sistem dan Pengelolaan Persampahan di Daerah Kabupaten/Kota</t>
  </si>
  <si>
    <t xml:space="preserve">1.03.04.2.01.0010 </t>
  </si>
  <si>
    <t>Pembangunan TPA/TPST/SPA/TPS-3R/TPS</t>
  </si>
  <si>
    <t>1.03.04.2.01.0013</t>
  </si>
  <si>
    <t>Peningkatan TPA/TPST/SPA/TPS-3R/TPS</t>
  </si>
  <si>
    <t>2. Pembayaran Pekerjaan Review Design Pembangunan TPST Jalingkos (Kagok) Tahun Anggaran 2023</t>
  </si>
  <si>
    <t>3. Pembayaran Pekerjaan Jasa Konsultan Pengawasan Pembangunan TPST Jalingkos (Kagok) Tahun Anggaran 2023</t>
  </si>
  <si>
    <t>4. Pembayaran Pekerjaan Pembangunan TPST Jalingkos (Kagok) Tahun Anggaran 2023</t>
  </si>
  <si>
    <t>1.03.04.2.01.0014</t>
  </si>
  <si>
    <t>Pembinaan Pengembangan Sistem Pengelolaan Persampahan Desa</t>
  </si>
  <si>
    <t xml:space="preserve">1.03.04.2.01.0015 </t>
  </si>
  <si>
    <t>Penyusunan Rencana, Kebijakan, Strategi dan Teknis Sistem Pengelolaan Persampahan</t>
  </si>
  <si>
    <t xml:space="preserve">1.03.04.2.01.0016 </t>
  </si>
  <si>
    <t>Optimalisasi TPA/TPST/SPA/TPS-3R/TPS</t>
  </si>
  <si>
    <t>1.03.05</t>
  </si>
  <si>
    <t>PROGRAM PENGELOLAAN DAN PENGEMBANGAN SISTEM AIR LIMBAH</t>
  </si>
  <si>
    <t xml:space="preserve">1.03.05.2.01 </t>
  </si>
  <si>
    <t>Pengelolaan dan Pengembangan Sistem Air Limbah Domestik dalam Daerah Kabupaten/Kota</t>
  </si>
  <si>
    <t xml:space="preserve">1.03.05.2.01.0019 </t>
  </si>
  <si>
    <t>Optimalisasi Instalasi Pengolahan Lumpur Tinja (IPLT)</t>
  </si>
  <si>
    <t>1. Perencanaan Pembangunan Prasarana Penunjang IPLT</t>
  </si>
  <si>
    <t>2. Pengawasan Pembangunan Prasarana Penunjang IPLT</t>
  </si>
  <si>
    <t>3. Pembangunan Prasarana Penunjang IPLT</t>
  </si>
  <si>
    <t xml:space="preserve">1.03.05.2.01.0024 </t>
  </si>
  <si>
    <t>Optimalisasi Sistem Pengelolaan Air Limbah Domestik (SPALD) Terpusat Skala Perkotaan</t>
  </si>
  <si>
    <t>1. Jasa Penyusunan Dokumen UKL-UPL IPLT</t>
  </si>
  <si>
    <t xml:space="preserve">1.03.05.2.01.0033 </t>
  </si>
  <si>
    <t>Penyediaan Jasa Penyedotan Lumpur Tinja</t>
  </si>
  <si>
    <t xml:space="preserve">1.03.05.2.01.0039 </t>
  </si>
  <si>
    <t>Penyediaan Sub Sistem Pengolahan Air Limbah Domestik (SPALD) Setempat</t>
  </si>
  <si>
    <t>1. Pembangunan Tangki Septik Skala Individu Perdesaan Desa Dawuhan Kec. Talang</t>
  </si>
  <si>
    <t>2. Pembangunan Tangki Septik Skala Individu Perdesaan Desa Kebandingan Kec. Kedungbanteng</t>
  </si>
  <si>
    <t>3. Pembangunan Tangki Septik Skala Individu Perdesaan Desa Kertasari Kec. Suradadi</t>
  </si>
  <si>
    <t>4. Pembangunan Tangki Septik Skala Individu Perdesaan Desa Lebakgowah Kec. Lebaksiu</t>
  </si>
  <si>
    <t>5. Pembangunan Tangki Septik Skala Individu Perdesaan Minimal 50 KK Desa Balapulang Wetan Kec. Balapulang (DAK)</t>
  </si>
  <si>
    <t>6. Pembangunan Tangki Septik Skala Individu Perdesaan Minimal 50 KK Desa Banjaragung Kec. Warureja (DAK)</t>
  </si>
  <si>
    <t>7. Pembangunan Tangki Septik Skala Individu Perdesaan Minimal 50 KK Desa Harjosari Lor Kec. Adiwerna (DAK)</t>
  </si>
  <si>
    <t>8. Pembangunan Tangki Septik Skala Individu Perdesaan Minimal 50 KK Desa Pecabean Kec. Pangkah (DAK)</t>
  </si>
  <si>
    <t>9. Pembangunan Tangki Septik Skala Individu Perdesaan Minimal 50 KK Kelurahan Kudaile Kec. Slawi (DAK)</t>
  </si>
  <si>
    <t>10. Biaya Umum</t>
  </si>
  <si>
    <t>11. Pembayaran Pekerjaan Jasa Konsultan Pengawasan Pembangunan/Peningkatan/Rehabilitasi IPLT Tahun Anggaran 2023</t>
  </si>
  <si>
    <t>12. Pembayaran Pekerjaan Pembangunan/Peningkatan/Rehabilitasi IPLT Tahun Anggaran 2023</t>
  </si>
  <si>
    <t xml:space="preserve">1.03.05.2.01.0040 </t>
  </si>
  <si>
    <t>Pembinaan dan Pemberdayaan Masyarakat dalam Pengembangan Sistem Pengelolaan Air Limbah Domestik (SPALD)</t>
  </si>
  <si>
    <t xml:space="preserve">1.03.05.2.01.0041 </t>
  </si>
  <si>
    <t>Penyusunan Rencana, Kebijakan, Strategi dan Teknis Sistem Pengelolaan Air Limbah Domestik (SPALD)</t>
  </si>
  <si>
    <t>1.03.06</t>
  </si>
  <si>
    <t>PROGRAM PENGELOLAAN DAN PENGEMBANGAN SISTEM DRAINASE</t>
  </si>
  <si>
    <t xml:space="preserve">1.03.06.2.01 </t>
  </si>
  <si>
    <t>Pengelolaan dan Pengembangan Sistem Drainase yang Terhubung Langsung dengan Sungai dalam Daerah Kabupaten/Kota</t>
  </si>
  <si>
    <t xml:space="preserve">1.03.06.2.01.0029 </t>
  </si>
  <si>
    <t>Pembangunan Sistem Drainase Perkotaan</t>
  </si>
  <si>
    <t>1. Draenase Jalan ruas Jalan Balamoa - Gembongdadi</t>
  </si>
  <si>
    <t>2. Pembangunan Drainase ruas Jalan Babadan - Warureja Di Desa Warureja</t>
  </si>
  <si>
    <t>3. Drainase ruas jalan Demangharjo Timur - Demangharjo</t>
  </si>
  <si>
    <t>4. Drainase jalan jatilawang (Ruas jalan jatilawang - dinuk)</t>
  </si>
  <si>
    <t>5. Drainase di dukuh Controng Ruas jalan Kertayasa â€“ Bongkok</t>
  </si>
  <si>
    <t>6. Drainase Ruas jalan babakan - jatibogor</t>
  </si>
  <si>
    <t>7. Drainase ruas jalan gembongdadi - kebandingan</t>
  </si>
  <si>
    <t>8. Lanjutan drainase ruas jalan lodadi - jatibogor</t>
  </si>
  <si>
    <t>9. Pembangunan Drainase Ruas Jalan Kedungkelor - Dukuh Panjatan</t>
  </si>
  <si>
    <t>10. Pembangunan Drainase Ruas Jalan Harjasari â€“ Jatimulya</t>
  </si>
  <si>
    <t>11. Pembangunan Drainase Ruas Jalan Dk. Siwen - Kertasari</t>
  </si>
  <si>
    <t>12. Drainase Ruas Jalan Sidoharja - Sidoharjo (Mlangse)</t>
  </si>
  <si>
    <t>13. Pembangunan Drainase Ruas Jalan Jatilawang - Jatilawang</t>
  </si>
  <si>
    <t>14. Pembangunan Drainase Ruas Jalan Peleman - Sidaharja</t>
  </si>
  <si>
    <t>15. Pembangunan Drainase Ruas Jalan Munjungagung - Kemantran</t>
  </si>
  <si>
    <t>16. Drainase ruas jalan babakan - kepunduhan di tangglok</t>
  </si>
  <si>
    <t>17. Drainase ruas jalan kepunduhan - ketileng</t>
  </si>
  <si>
    <t>18. Pembangunan Drainase Jalan Dukuhladon</t>
  </si>
  <si>
    <t>19. Pembangunan Drainase Ruas Jalan SuradadiBojongsana</t>
  </si>
  <si>
    <t>20. Pembangunan Draenase jalan ruas Kaladawa - Wangandawa di Getaskerep</t>
  </si>
  <si>
    <t>21. Drainase ruas jalan pegirikan â€“ bedug (di pegirikan)</t>
  </si>
  <si>
    <t>22. Drainase ruas jalan pasangan - langgen</t>
  </si>
  <si>
    <t>23. Drainase ruas jalan Dawuhan â€“ Getaskerep</t>
  </si>
  <si>
    <t>24. Drainase Ruas jalan Penarukan â€“ Kedungsukun (di penarukan)</t>
  </si>
  <si>
    <t>25. Drainase ruas jalan raya II ujungrusi (di ujungrusi arah TK DARUL FURQON)</t>
  </si>
  <si>
    <t>26. Pembangunan Drainase Ruas Jalan Sulang Pacul - Getaskerep</t>
  </si>
  <si>
    <t>27. Pembangunan Drainase Ruas Jalan Kaligayam - Pesayangan</t>
  </si>
  <si>
    <t>28. Drainase jalan ruas jalan Kaladawa â€“ Bengle</t>
  </si>
  <si>
    <t>29. Pembangunan Drainase Jalan Ruas Jalan Lemahduwur- Pesarean</t>
  </si>
  <si>
    <t>30. Pembangunan Drainase Jalan Ruas Jalan Singkil Gumalar ( di Pesarean )</t>
  </si>
  <si>
    <t>31. Pembangunan Drainase Ruas Jalan Kedungsukun - Gumalar</t>
  </si>
  <si>
    <t>32. Pembangunan Drainase Ruas Moh. Abu Seri ( Kalimati )</t>
  </si>
  <si>
    <t>33. Pembangunan Drainase Ruas Gumalar - Bersole (Gumalar )</t>
  </si>
  <si>
    <t>34. Drainase ruas jalan kebasen - kajen</t>
  </si>
  <si>
    <t>35. pembanguna Drainase ruas jalan setu-mindaka ( lokasi desa Kemanggungan dukuh)</t>
  </si>
  <si>
    <t>36. Drainase ruas Jalan raya Singkil II</t>
  </si>
  <si>
    <t>37. Drainase Ruas Kaliwadas â€“ Pagiyanten</t>
  </si>
  <si>
    <t>38. Drainase ruas jalan Pagedangan - Penarukan</t>
  </si>
  <si>
    <t>39. Drainase ruas Jalan Kaliwadas Penarukan</t>
  </si>
  <si>
    <t>40. Drainase ruas Jalan Kalikangkung - Grobog Wetan</t>
  </si>
  <si>
    <t>41. Drainase ruas jalan jatinegara - lembasari kec. Jatinegara</t>
  </si>
  <si>
    <t>42. Drainase jalan ruas jalan Selapura â€“ Blubuk</t>
  </si>
  <si>
    <t>43. Drainase jalan ruas jalan Kabunan â€“ Kedawung</t>
  </si>
  <si>
    <t>44. Drainase di Jl, Cut Nyak Dhien (Pertigaan Jln. Dr. Soetomo, Slawi)</t>
  </si>
  <si>
    <t>45. Drainase Jalan Blanak Kalisapu</t>
  </si>
  <si>
    <t>46. Lanjutan Drainase Ruas jalan trisanja</t>
  </si>
  <si>
    <t>47. Saluran ruas jalan Blubuk - SLarang lor</t>
  </si>
  <si>
    <t>48. Pembuatan Saluran Jalan WR Supratman Desa Dukuhwringin</t>
  </si>
  <si>
    <t>49. Pembangunan Drainase Ruas Jalan Lebakgowah - Yamansari Kec. Lebaksiu</t>
  </si>
  <si>
    <t>50. Pembangunan Drainase Jalan Teuku Umar Ruas Jalan Dukuhsalam - Slawi Wetan</t>
  </si>
  <si>
    <t>51. Pembangunan Saluran drainase Lebaksiu Lor - Lebaksiu Kidul</t>
  </si>
  <si>
    <t>52. Pembangunan Drainase Jalan Bulakpacing - Blubuk</t>
  </si>
  <si>
    <t>53. Pembangunan Drainase Ruas Jalan Dukuhdamu - Slarangkidul</t>
  </si>
  <si>
    <t>54. Pembangunan Drainase RB Umi Hani Ruas Jalan Kambangan - Balaradin</t>
  </si>
  <si>
    <t>55. Pembangunan Draenase Ruas Jalan Dr Cipto Mangunkusumo Lokasi Depan SMP N 2 Slawi</t>
  </si>
  <si>
    <t>56. Pembangunan Draenase Ruas Jalan Slawi Kulon - Dukuwringin ( Depan DPC PKB Slawi )</t>
  </si>
  <si>
    <t>57. saluran jalan ruas jalan blubuk - blubuk di jalan gunung slamet kec dukuhwaru</t>
  </si>
  <si>
    <t>58. Drainase ruas jalan banjaranyar - batuagung</t>
  </si>
  <si>
    <t>59. Drainase ruas jalan balapulang - pamiritan</t>
  </si>
  <si>
    <t>60. Drainase ruas jalan balapulang kulon - balapulang wetan</t>
  </si>
  <si>
    <t>61. Drainase ruas jalan pagerbarang - tugukuning</t>
  </si>
  <si>
    <t>62. Drainase ruas jalan margasari - kalisalak</t>
  </si>
  <si>
    <t>63. Drainase ruas jalan margasari - jedug</t>
  </si>
  <si>
    <t>64. Drainase ruas jalan danawarih - harjawinangun</t>
  </si>
  <si>
    <t>65. Pembangunan Drainase Ruas Jalan Rajegwesi â€“ Jatiwangi</t>
  </si>
  <si>
    <t>66. Pembangunan Drainase Ruas Jalan Randusari â€“ Jatipelag</t>
  </si>
  <si>
    <t>67. Pembangunan Drainase Ruas Jalan Randusari - Pagerbarang</t>
  </si>
  <si>
    <t>68. Pembangunan Drainase Ruas Jalan Pamiritan â€“ Wringinjenggot</t>
  </si>
  <si>
    <t>69. Pembangunan Drainase Ruas Jalan Kalibakung â€“ Harjawinangun</t>
  </si>
  <si>
    <t>70. Pembangunan Draenase Jalan ruas jalan Randusari - Karanglo</t>
  </si>
  <si>
    <t>71. Drainase ruas kaligayam - mlodok</t>
  </si>
  <si>
    <t>72. Drainase Ruas Jalan Mulyoharjo - Randusari</t>
  </si>
  <si>
    <t>73. Drainase Ruas Jalan Kalisalak - Margaayu</t>
  </si>
  <si>
    <t>74. Drainase Ruas jalan Semboja â€“ Jatipelag</t>
  </si>
  <si>
    <t>75. Drainase ruas jalan jedug - pagerbarang</t>
  </si>
  <si>
    <t>76. Pembangunan drainase ruas jalan balapulang wetan - pamiritan</t>
  </si>
  <si>
    <t>77. Pembangunan drainase ruas jalan margaayu - kalisalak</t>
  </si>
  <si>
    <t>78. Pembangunan drainase ruas jalan wringinjenggot - danawarih (sibelok)</t>
  </si>
  <si>
    <t>79. Pembangunan Draenase Jalan ruas Jalan Sumbaga - Carul</t>
  </si>
  <si>
    <t>80. Pembangunan Draenase Jalan ruas Jalan Sumbaga - Sokasari</t>
  </si>
  <si>
    <t>81. Drainase ruas jalan senggang - sokatengah</t>
  </si>
  <si>
    <t>82. Drainase ruas jalan bumijawa - traju</t>
  </si>
  <si>
    <t>83. Drainase ruas jalan gunung agung - jejeg</t>
  </si>
  <si>
    <t>84. Pembangunan Drainase Ruas Jalan Gupakan - Bumijawa</t>
  </si>
  <si>
    <t>85. Pembangunan Drainase Ruas Jalan Bumijawa - Sumbaga</t>
  </si>
  <si>
    <t>86. Pembangunan Draenase jalan ruas jalan Dukuharen - Dukuh bujil</t>
  </si>
  <si>
    <t>87. Pembangunan Draenase Bumijawa - Jejeg</t>
  </si>
  <si>
    <t>88. Biaya Umum</t>
  </si>
  <si>
    <t>89. Pembangunan Drainase Ruas Jalan Sidaharja - Jatibogor</t>
  </si>
  <si>
    <t xml:space="preserve">1.03.06.2.01.0030 </t>
  </si>
  <si>
    <t>Penyusunan Rencana, Kebijakan, Strategi dan Teknis Sistem Drainase Perkotaan</t>
  </si>
  <si>
    <t>1. Jasa Konsultan Jasa Konsultansi Lainnya-Jasa Manajemen Proyek Terkait Konstruksi Pekerjaan Teknik Sipil Lainnya</t>
  </si>
  <si>
    <t>1.03.08</t>
  </si>
  <si>
    <t>PROGRAM PENATAAN BANGUNAN GEDUNG</t>
  </si>
  <si>
    <t xml:space="preserve">1.03.08.2.01 </t>
  </si>
  <si>
    <t>Penyelenggaraan Bangunan Gedung di Wilayah Daerah Kabupaten/Kota, Pemberian Izin Mendirikan Bangunan (IMB) dan Sertifikat Laik Fungsi Bangunan Gedung</t>
  </si>
  <si>
    <t xml:space="preserve">1.03.08.2.01.0019 </t>
  </si>
  <si>
    <t>Penyusunan Kebijakan terkait Penyelenggaraan Bangunan Gedung</t>
  </si>
  <si>
    <t xml:space="preserve">1.03.08.2.01.0020 </t>
  </si>
  <si>
    <t>Bantuan Teknis Pembangunan Bangunan Gedung Negara untuk Kepentingan Strategis Kabupaten/Kota</t>
  </si>
  <si>
    <t>3. Belanja Jasa Tenaga Administrasi</t>
  </si>
  <si>
    <t xml:space="preserve">1.03.08.2.01.0021 </t>
  </si>
  <si>
    <t>Pembangunan, Pemanfaatan, Pelestariaan dan Pembongkaran Bangunan Gedung untuk Kepentingan Strategis Daerah Kabupaten/Kota</t>
  </si>
  <si>
    <t>1. Belanja Honorarium Pengadaan Barang/Jasa</t>
  </si>
  <si>
    <t>2. Belanja Sewa Kendaraan Bermotor Penumpang</t>
  </si>
  <si>
    <t>4. LANJUTAN PEMBANGUNAN KANTOR POLSEK PANGKAH</t>
  </si>
  <si>
    <t>5. PEMBANGUNAN PAGAR KELILING GEDUNG KANTOR POLRES TEGAL</t>
  </si>
  <si>
    <t>6. REHABILITASI RINGAN GEDUNG KANTOR KEJAKSAAN NEGERI KABUPATEN TEGAL</t>
  </si>
  <si>
    <t>7. PEMBANGUNAN GEDUNG KANTOR DPRD KABUPATEN TEGAL</t>
  </si>
  <si>
    <t>8. PEMBANGUNAN GUDANG ASET BPKAD KABUPATEN TEGAL</t>
  </si>
  <si>
    <t>9. JASA KONSULTANSI PERENCANAAN PEMBANGUNAN GEDUNG KANTOR DPRD KABUPATEN TEGAL</t>
  </si>
  <si>
    <t>10. JASA KONSULTANSI PENGAWASAN PEMBANGUNAN GEDUNG KANTOR DPRD KABUPATEN TEGAL</t>
  </si>
  <si>
    <t>11. JASA KONSULTANSI PENGAWASAN PEMBANGUNAN GUDANG ASET BPKAD KABUPATEN TEGAL</t>
  </si>
  <si>
    <t>12. JASA KONSULTANSI PENGAWASAN LANJUTAN PEMBANGUNAN KANTOR POLSEK PANGKAH</t>
  </si>
  <si>
    <t>13. JASA KONSULTANSI PERENCANAAN PEMBANGUNAN PAGAR KELILING GEDUNG KANTOR POLRES TEGAL</t>
  </si>
  <si>
    <t>14. JASA KONSULTANSI PENGAWASAN PEMBANGUNAN PAGAR KELILING GEDUNG KANTOR POLRES TEGAL</t>
  </si>
  <si>
    <t>15. JASA KONSULTANSI PERENCANAAN REHABILITASI RINGAN GEDUNG KANTOR KEJAKSAAN NEGERI KABUPATEN TEGAL</t>
  </si>
  <si>
    <t>16. JASA KONSULTANSI PENGAWASAN REHABILITASI RINGAN GEDUNG KANTOR KEJAKSAAN NEGERI KABUPATEN TEGAL</t>
  </si>
  <si>
    <t>17. JASA KONSULTANSI PERENCANAAN PEMBANGUNAN KANTOR DINAS PUPR KABUPATEN TEGAL</t>
  </si>
  <si>
    <t>18. JASA KONSULTANSI REVIEW DED PEMBANGUNAN GEDUNG DINAS PERHUBUNGAN</t>
  </si>
  <si>
    <t>19. JASA KONSULTANSI REVIEW DED PEMBANGUNAN GEDUNG KECAMATAN LEBAKSIU</t>
  </si>
  <si>
    <t>20. JASA KONSULTANSI PEMBUATAN APLIKASI PENDUKUNG SIMBG</t>
  </si>
  <si>
    <t>21. JASA KONSULTANSI PENDATAAN BANGUNAN GEDUNG NEGARA</t>
  </si>
  <si>
    <t>22. Pembayaran Pekerjaan Pembangunan Gedung Kantor Kecamatan Kramat Tahun Anggaran 2023</t>
  </si>
  <si>
    <t>23. Pembayaran Pekerjaan Pembangunan Gedung UPTD Uji Kompetensi BKPSDM Tahun Anggaran 2023</t>
  </si>
  <si>
    <t>24. Pembayaran Sisa Kontrak Pekerjaan Pembangunan Pasar Bojong Tahun Anggaran 2018</t>
  </si>
  <si>
    <t>25. Pembayaran Pekerjaan Jasa Konsultan Perencana Pembangunan Gedung Kantor Kecamatan Kramat Tahun Anggaran 2023</t>
  </si>
  <si>
    <t>26. Pembayaran Pekerjaan Jasa Konsultan Pengawasan Pembangunan Gedung Kantor Kecamatan Kramat Tahun Anggaran 2023</t>
  </si>
  <si>
    <t>27. Pembayaran Pekerjaan Jasa Konsultan Perencana Pembangunan Gedung UPTD Uji Kompetensi BKPSDM Tahun Anggaran 2023</t>
  </si>
  <si>
    <t>28. Pembayaran Pekerjaan Jasa Konsultan Pengawasan Pembangunan Gedung UPTD Uji Kompetensi BKPSDM Tahun Anggaran 2023</t>
  </si>
  <si>
    <t>29. PEMBANGUNAN PAGAR KELILING DAN PERBAIKAN SALURAN DRAINASE LINGKUNGAN BENGLAP IV/1]1 SLAWI</t>
  </si>
  <si>
    <t>30. PEMBANGUNAN POSAL LANAL TEGAL</t>
  </si>
  <si>
    <t>31. LANJUTAN PEMBANGUNAN GEDUNG SERBA GUNA SATRADAR</t>
  </si>
  <si>
    <t>32. REHAB SEDANG RUMAH DINAS KEPALA KEJAKSAAN NEGERI KABUPATEN TEGAL</t>
  </si>
  <si>
    <t>33. PEMBANGUNAN MASJID KODIM 0712/TEGAL</t>
  </si>
  <si>
    <t>34. JASA KONSULTANSI PERENCANAAN PEMBANGUNAN PAGAR KELILING DAN PERBAIKAN SALURAN DRAINASE LINGKUNGAN BENGLAP IV/1-1 SLAWI</t>
  </si>
  <si>
    <t>35. JASA KONSULTANSI PENGAWASAN PEMBANGUNAN PAGAR KELILING DAN PERBAIKAN SALURAN DRAINASE LINGKUNGAN BENGLAP IV/1-1 SLAWI</t>
  </si>
  <si>
    <t>36. JASA KONSULTANSI PERENCANAAN PEMBANGUNAN POSAL LANAL TEGAL</t>
  </si>
  <si>
    <t>37. JASA KONSULTANSI PENGAWASAN PEMBANGUNAN POSAL LANAL TEGAL</t>
  </si>
  <si>
    <t>38. JASA KONSULTANSI PERENCANAAN LANJUTAN PEMBANGUNAN GEDUNG SERBA GUNA SATRADAR</t>
  </si>
  <si>
    <t>39. JASA KONSULTANSI PENGAWASAN LANJUTAN PEMBANGUNAN GEDUNG SERBA GUNA SATRADAR</t>
  </si>
  <si>
    <t>40. JASA KONSULTANSI PERENCANAAN REHAB SEDANG RUMAH DINAS KEPALA KEJAKSAAN NEGERI KABUPATEN TEGAL</t>
  </si>
  <si>
    <t>41. JASA KONSULTANSI PENGAWASAN REHAB SEDANG RUMAH DINAS KEPALA KEJAKSAAN NEGERI KABUPATEN TEGAL</t>
  </si>
  <si>
    <t>42. JASA KONSULTANSI PERENCANAAN PEMBANGUNAN MASJID KODIM 0712/TEGAL</t>
  </si>
  <si>
    <t>43. JASA KONSULTANSI PENGAWASAN PEMBANGUNAN MASJID KODIM 0712/TEGAL</t>
  </si>
  <si>
    <t>44. JASA KONSULTANSI PERENCANAAN PEMBANGUNAN TRIBUN STADION GOR TRISANJA</t>
  </si>
  <si>
    <t xml:space="preserve">1.03.08.2.01.0023 </t>
  </si>
  <si>
    <t>Penyelenggaraan Penerbitan Persetujuan Bangunan Gedung (PBG), Sertifikat Laik Fungsi (SLF), Surat Bukti Kepemilikan Bangunan Gedung (SBKBG), Rencana Teknis Pembongkaran Bangunan Gedung (RTB), Tim Profesi Ahli (TPA), Tim Penilai Teknis (TPT), Penilik, dan Pendataan Bangunan Gedung melalui SIMBG</t>
  </si>
  <si>
    <t>2. Belanja Jasa Tenaga Administrasi</t>
  </si>
  <si>
    <t>1.03.09</t>
  </si>
  <si>
    <t>PROGRAM PENATAAN BANGUNAN DAN LINGKUNGANNYA</t>
  </si>
  <si>
    <t xml:space="preserve">1.03.09.2.01 </t>
  </si>
  <si>
    <t>Penyelenggaraan Penataan Bangunan dan Lingkungannya di Daerah Kabupaten/Kota</t>
  </si>
  <si>
    <t>1.03.09.2.01.0008</t>
  </si>
  <si>
    <t>Penataan Bangunan dan Lingkungan Kawasan Cagar Budaya, Kawasan Pariwisatam Kawasan Sistem Perkotaan Nasional dan Kawasan Strategis Lainnya</t>
  </si>
  <si>
    <t>1. Pembayaran Pekerjaan Jasa Konsultan Pengawasan Penataan Koridor I Jalan Gajah Mada Tahun Anggaran 2023</t>
  </si>
  <si>
    <t>2. Pembayaran Pekerjaan Jasa Konsultan Perencana Penataan Koridor I Jalan Gajah Mada Tahun Anggaran 2023</t>
  </si>
  <si>
    <t>3. Pembayaran Pekerjaan Penataan Koridor I Jalan Gajah Mada Tahun Anggaran 2023</t>
  </si>
  <si>
    <t xml:space="preserve">1.03.09.2.01.0010 </t>
  </si>
  <si>
    <t>Penyusunan Rencana dan Teknis Penataan Bangunan dan Lingkungan di Kawasan Strategis Daerah Kabupaten/Kota</t>
  </si>
  <si>
    <t>1. Jasa Konsultan Pengawasan Penataan Jl. DR. Sutomo-Wahid Hasyim Pendukung Skybridge</t>
  </si>
  <si>
    <t>2. Penataan Jl. DR. Sutomo-Wahid Hasyim Pendukung Skybridge</t>
  </si>
  <si>
    <t>3. Jasa Konsultan Perencana Penataan Koridor I Lanjutan</t>
  </si>
  <si>
    <t>4. Jasa Konsultan Pengawasan Penataan Koridor I Lanjutan</t>
  </si>
  <si>
    <t>5. Penataan Koridor I Lanjutan</t>
  </si>
  <si>
    <t>6. Jasa Konsultan Pengawasan Penataan Trasa Lanjutan</t>
  </si>
  <si>
    <t>7. Penataan Trasa Lanjutan</t>
  </si>
  <si>
    <t>8. Jasa Konsultan Perencana Pengadaan Lampu Hias di Koridor IX</t>
  </si>
  <si>
    <t>9. Jasa Konsultan Pengawasan Pengadaan Lampu Hias di Koridor IX</t>
  </si>
  <si>
    <t>10. Pengadaan Lampu Hias di Koridor IX</t>
  </si>
  <si>
    <t>11. Jasa Konsultan Perencana Peningkatan Saluran Drainase Alun-Alun Hanggawana</t>
  </si>
  <si>
    <t>12. Jasa Konsultan Pengawasan Peningkatan Saluran Drainase Alun-Alun Hanggawana</t>
  </si>
  <si>
    <t>13. Peningkatan Saluran Drainase Alun-Alun Hanggawana</t>
  </si>
  <si>
    <t>14. Pembayaran Pekerjaan Pembangunan Saluran Drainase Perkotaan Slawi TA 2015 sesuai Putusan Pengadilan Negeri Slawi nomor 37/Pdt.G/2023/PN Slw</t>
  </si>
  <si>
    <t>15. Biaya Umum</t>
  </si>
  <si>
    <t>16. Masterplan Kota Slawi</t>
  </si>
  <si>
    <t>1.03.10</t>
  </si>
  <si>
    <t>PROGRAM PENYELENGGARAAN JALAN</t>
  </si>
  <si>
    <t>1.03.10.2.01</t>
  </si>
  <si>
    <t>Penyelenggaraan Jalan Kabupaten/Kota</t>
  </si>
  <si>
    <t xml:space="preserve">1.03.10.2.01.0029 </t>
  </si>
  <si>
    <t>Penyusunan Rencana, Kebijakan, Strategi dan Teknis Pengembangan Jaringan Jalan serta Perencanaan Teknis Penyelenggaraan Jalan dan Jembatan</t>
  </si>
  <si>
    <t>1. Jasa Konsultansi Lainnya-Jasa Manajemen Proyek Terkait Konstruksi Pekerjaan Teknik Sipil Lainnya</t>
  </si>
  <si>
    <t>2. Konsultan Perencana Pembangunan Jembatan Blembeng</t>
  </si>
  <si>
    <t>3. Konsultan Perencana Pembangunan Jembatan Kalierang</t>
  </si>
  <si>
    <t>4. Konsultan Perencana Pembangunan Jembatan Sokasari</t>
  </si>
  <si>
    <t>5. Konsultan Perencana Pembangunan Pengaman Kaligung Ruas Senggang - Karangjambu</t>
  </si>
  <si>
    <t>6. Konsultan Perencana Peningkatan Jalan Bojong - Sokasari</t>
  </si>
  <si>
    <t>7. Konsultan Perencana Peningkatan Jalan Sumbaga - Senggang</t>
  </si>
  <si>
    <t>8. Konsultan Perencana Peningkatan Jalan Sumbaga - Sokasari</t>
  </si>
  <si>
    <t>9. Pembebasan Tanah Jalan Senggang Sumbaga</t>
  </si>
  <si>
    <t>10. Pembebasan Tanah Jembatan Kalierang</t>
  </si>
  <si>
    <t>11. Biaya Umum</t>
  </si>
  <si>
    <t xml:space="preserve">1.03.10.2.01.0032 </t>
  </si>
  <si>
    <t>Pembangunan Jalan</t>
  </si>
  <si>
    <t>1. Betonisasi Jalan ruas Karangmulya - Semendot</t>
  </si>
  <si>
    <t>2. Betonisasi Jalan Ruas Pala 6 Mejasem Barat - Mejasem Timur</t>
  </si>
  <si>
    <t>3. Betonisasi Jalan Ruas Kertasari - Dukuhsiwen</t>
  </si>
  <si>
    <t>7. Betonisasi Jalan ruas MTs Husnaba â€“ Cempaka Gembongdadi (Ruas Kebandingan - Dukuhkarangsari)</t>
  </si>
  <si>
    <t>4. Betonisasi Jalan Ruas Sidaharja - Jatibogor</t>
  </si>
  <si>
    <t>5. Betonisasi Jalan Ruas Kertayasa - Bongkok</t>
  </si>
  <si>
    <t>6. Betonisasi Jalan Ruas Karangsari - Karangwuluh</t>
  </si>
  <si>
    <t>8. Rigit beton ruas jalan Kedungkelor - Banjaragung Kec Warureja</t>
  </si>
  <si>
    <t>9. Rigit beton ruas jalan Warureja - Banjaragung di Desa Banjaragung</t>
  </si>
  <si>
    <t>10. Rigit beton ruas jalan Demangharjo Timur - Demangharjo</t>
  </si>
  <si>
    <t>11. Rigit beton ruas jalan Kebandingan - Dukuh bandung di Desa Kendayakan</t>
  </si>
  <si>
    <t>12. Rigit beton ruas jalan Kedungkelor - Kedungsambi Dukuh Panjatan</t>
  </si>
  <si>
    <t>13. Rigit beton ruas jalan Sigentong - Sigentong Desa Sigentong</t>
  </si>
  <si>
    <t>14. Rigit beton ruas jalan Kreman - Wanagopa</t>
  </si>
  <si>
    <t>15. Rigit beton ruas jalan Banjarturi - Banjaragung</t>
  </si>
  <si>
    <t>16. Rigit beton ruas jalan sidamuya - sigentong di desa sidamulya</t>
  </si>
  <si>
    <t>17. Rigit beton ruas jalan Sigentong - Wanagopa</t>
  </si>
  <si>
    <t>18. Rigit Beton Ruas Jalan Babadan - Warureja</t>
  </si>
  <si>
    <t>19. Rigit beton ruas jalan harjasari - gembongdadi</t>
  </si>
  <si>
    <t>20. Lanjutan rigit beton ruas jalan lodadi - karangwuluh</t>
  </si>
  <si>
    <t>21. Lanjutan rigit beton ruas jalan lodadi - karangmalang</t>
  </si>
  <si>
    <t>22. Lanjutan rigit beton ruas jalan gembongdadi - kebandingan (dukuh ladon)</t>
  </si>
  <si>
    <t>23. Lanjutan rigit beton ruas jalan sidamulya - sigentong</t>
  </si>
  <si>
    <t>24. Rigit beton ruas jalan Kemuning - Plumbungan ( Lanjutan ) Kec Kramat</t>
  </si>
  <si>
    <t>25. Rigit beton ruas jalan Tanjungharja - Kemuning Kec Kramat</t>
  </si>
  <si>
    <t>26. Konsolidasi Rigit Beton ruas jalan Plumbungan - Kepel Kec Kramat (lanjutan)</t>
  </si>
  <si>
    <t>27. Rigit beton ruas jalan Kepel - Kesadikan Kec Kramat</t>
  </si>
  <si>
    <t>28. Rigit Beton ruas jalan Maribaya - Kramat</t>
  </si>
  <si>
    <t>29. Rigit Beton Jalan ruas jalan Babakan - Kepunduhan di Kertaharja</t>
  </si>
  <si>
    <t>30. Rabat beton ruas jalan sigentong- semedo disigentong</t>
  </si>
  <si>
    <t>31. Rabat Beton Ruas Jalan Gembongdadi Kaliwari - Harjasari</t>
  </si>
  <si>
    <t>32. Rabat Beton Ruas Jalan Purwahamba - Blubuk</t>
  </si>
  <si>
    <t>33. Pembangunan Rabat Beton Ruas Jalan Harjasari - Jatimulya</t>
  </si>
  <si>
    <t>34. Pembangunan Rabat Beton Ruas Jalan Kertasari - Bader</t>
  </si>
  <si>
    <t>35. Rabat Beton jalan Karangsari Gembongdadi di RT 03 RW 01</t>
  </si>
  <si>
    <t>36. Biaya Umum</t>
  </si>
  <si>
    <t>37. Penanganan Darurat Kerusakan Sarana/Prasarana Jalan Dukuh Karangsari Desa Wotgalih Kecamatan Jatinegara Kabupaten Tegal</t>
  </si>
  <si>
    <t>38. Peningkatan Jalan Babakan - Jatibogor Kec. Kramat</t>
  </si>
  <si>
    <t>39. Peningkatan Ruas Jalan Margapadang - Kesamiran</t>
  </si>
  <si>
    <t>40. Peningkatan Ruas Jalan Mangunsaren - Kesadikan</t>
  </si>
  <si>
    <t>41. Konsultan Pengawas Peningkatan Jalan Babakan - Jatibogor Kec. Kramat</t>
  </si>
  <si>
    <t xml:space="preserve">1.03.10.2.01.0033 </t>
  </si>
  <si>
    <t>Rekonstruksi Jalan</t>
  </si>
  <si>
    <t>1. Trotoar Jalan ruas Jalan Balamoa - Gembongdadi</t>
  </si>
  <si>
    <t>2. Talud ruas Jalan Kedungkelor - Banjaragung di Banjaragung</t>
  </si>
  <si>
    <t>3. Talud Ruas Jalan Kebandingan - Dukuh Bandung di Kendayakan</t>
  </si>
  <si>
    <t>4. Pembangunan Talud Ruas Jalan Blubuk - Kertasari</t>
  </si>
  <si>
    <t>5. Pembangunan Talud Ruas Jalan Jatibogor - Blubuk</t>
  </si>
  <si>
    <t>6. Pembangunan Talud Ruas Jalan Kedungjati - Cipero</t>
  </si>
  <si>
    <t>7. Pembangunan Talud Ruas Jalan Simendot - Karangmulya</t>
  </si>
  <si>
    <t>8. Pembangunan Talud Ruas Jalan Babakan - Bongkok</t>
  </si>
  <si>
    <t>9. Pembangunan Troroar Ruas Jalan Bongkok - Jatilawang</t>
  </si>
  <si>
    <t>10. Talud Ruas Jalan Karangmangu - Lebeteng</t>
  </si>
  <si>
    <t>11. Pembangunan Talud Jalan ruas Bulakwaru - Karangjati</t>
  </si>
  <si>
    <t>12. Pembangunan Talud Ruas Jalan Sadewa Kedungsukun</t>
  </si>
  <si>
    <t>13. Pembangunan Talud Ruas Jalan Pengarasan - Pecangakan</t>
  </si>
  <si>
    <t>14. Pembangunan Talud Ruas Jalan Pedeslohor - Pedeslohor</t>
  </si>
  <si>
    <t>15. Pembangunan Talud Ruas Jalan Kedungsukun - Pedeslohor</t>
  </si>
  <si>
    <t>16. Pembangunan Talud Ruas Jalan Lumingser - Kedungsukun</t>
  </si>
  <si>
    <t>17. Talud Ruas Pecangakan - Lawatan</t>
  </si>
  <si>
    <t>18. Talud Ruas Ketanggungan - Lumingser</t>
  </si>
  <si>
    <t>19. Talud Jalan Ruas Penarukan - Kaliwadas</t>
  </si>
  <si>
    <t>20. Talud Ruas jalan Penarukan - Kedungsukun</t>
  </si>
  <si>
    <t>21. Pembangunan Talud ruas jalan Lebeteng - purbasana</t>
  </si>
  <si>
    <t>22. Talud jalan ruas jalan Bulakpacing - Pedeslohor</t>
  </si>
  <si>
    <t>23. Trotoar Ruas Jalan Kalikangkung - Grobog Wetan</t>
  </si>
  <si>
    <t>24. talud ruas jalan tamansari - wotgalih kec. Jatinegara</t>
  </si>
  <si>
    <t>25. talud ruas jalan jatinegara - gantungan kec. Jatinegara</t>
  </si>
  <si>
    <t>26. Pembangunan talud ruas jalan lembasari tamansari</t>
  </si>
  <si>
    <t>27. Trotoar ruas jalan tamansari - tipar kec. Jatinegara</t>
  </si>
  <si>
    <t>28. Talud Ruas Jalan Padasari - capar (di padasari), jatinegara</t>
  </si>
  <si>
    <t>29. Pembangunan Talud Jalan ruas jalan Cerih- Kajenengan</t>
  </si>
  <si>
    <t>30. Talud Jalan Ruas Pener - Dermasuci Kec. Pangkah</t>
  </si>
  <si>
    <t>31. Talud Slarang Kidul - Kambangan</t>
  </si>
  <si>
    <t>32. Talud jalan ruas jalan kabunan - Dukuhdamu</t>
  </si>
  <si>
    <t>33. Pembangunan talud ruas jalan Suralaya Desa Tegalandong</t>
  </si>
  <si>
    <t>34. Talud jalan ruas jalan Gumayun - Kalisoka</t>
  </si>
  <si>
    <t>35. Talud ruas jalan Blubuk - Slaranglor</t>
  </si>
  <si>
    <t>36. Pembangunan Trotoar Depan RSUD Dr. Soesilo Jalan Soetomo</t>
  </si>
  <si>
    <t>37. Lanjutan Pembangunan Trotoar Ruas Jalan Cut Nyak Dien, Kalisapu (Usulan Reses 2021)</t>
  </si>
  <si>
    <t>38. Pembangunan Talud Jalan Desa Sindang - Dukuhwaru</t>
  </si>
  <si>
    <t>39. Pembangunan Talud Ruas Jalan kambangan</t>
  </si>
  <si>
    <t>40. Pembangunan Talud Jalan Bulakpacing - Blubuk</t>
  </si>
  <si>
    <t>41. Pembangunan Talud di Ruas Jalan Kaligimber â€“ Sesepan</t>
  </si>
  <si>
    <t>42. Pembangunan talud ruas jalan randusari - jatipelag</t>
  </si>
  <si>
    <t>43. Pemabangunan talud ruas jalan semboja - slarang kidul</t>
  </si>
  <si>
    <t>44. Pembangunan talud ruas jalan semboja - mulyoharjo</t>
  </si>
  <si>
    <t>45. Pembangunan talud ruas jalan mangir - cibunar</t>
  </si>
  <si>
    <t>46. Pembangunan talud ruas jalan cibunar - cibunar</t>
  </si>
  <si>
    <t>47. Pembangunan talud ruas jalan cilongok - danaraja</t>
  </si>
  <si>
    <t>48. Trotoar ruas jalan Surokidul - Jatibarang ( Desa Pesarean ) Kec. Pagerbarang</t>
  </si>
  <si>
    <t>49. Trotoar ruas Jalan Mulyoharjo - Bulakmenjangan di Mulyoharjo</t>
  </si>
  <si>
    <t>50. Pembangunan Talud Jalan Ruas Jalan Danawarih - Sangkanjaya</t>
  </si>
  <si>
    <t>51. Pembangunn Talud Ruas Jalan Kertaharja - Jatirokeh</t>
  </si>
  <si>
    <t>52. Pembangunan Trotoar Ruas Jalan Jedug - Pagerbarang</t>
  </si>
  <si>
    <t>53. Pembangunan Talud Ruas Jalan MAN Pagerbarang - Lenggor (Kertajarja)</t>
  </si>
  <si>
    <t>54. lanjutan pembangunan talud ruas jalan karangjambu - karangjambu</t>
  </si>
  <si>
    <t>55. Trotoar Ruas Jalan Rajegwesi - Randusari</t>
  </si>
  <si>
    <t>56. Talud Ruas Jalan Kalisalak - Margasari</t>
  </si>
  <si>
    <t>57. Trotoar Jalan Ruas Randusari - Pagerbarang</t>
  </si>
  <si>
    <t>58. Lanjutan pembuatan trotoar ruas jalan jalan Raya Margasari Kec Margasari</t>
  </si>
  <si>
    <t>59. Talud Ruas Jalan Jatilaba - Karangdawa</t>
  </si>
  <si>
    <t>60. Pembangunan talud ruas jalan wringinjenggot - sesepan</t>
  </si>
  <si>
    <t>61. Pembangunan talud ruas jalan senggang - karangjambu</t>
  </si>
  <si>
    <t>62. Pembangunan Talud jalan ruas jalan Siketi - Glempang</t>
  </si>
  <si>
    <t>63. Pembangunan Talud Jalan ruas Jalan Dukuhrawa - Cintamanik</t>
  </si>
  <si>
    <t>64. Pembangunan Talud Jalan ruas Jalan Sumbaga - Senggang</t>
  </si>
  <si>
    <t>65. Pembangunan Talud Ruas Jalan Bumijawa - Traju</t>
  </si>
  <si>
    <t>66. Pembangunan Talud Jalan Carul - Sumbaga ( lanjutan )</t>
  </si>
  <si>
    <t>67. Pembangunan Talud ruas jalan bumijawa - bumijawa kecamatan bumijawa</t>
  </si>
  <si>
    <t>68. Pembangunan Talud Jalan ruas jalan Simpar - Sangkanayu</t>
  </si>
  <si>
    <t>69. Pembangunan Talud Jalan ruas jalan Batunyana - Diwung</t>
  </si>
  <si>
    <t>70. Pembangunan Talud Jalan ruas jalan Traju - Pagerkasih</t>
  </si>
  <si>
    <t>71. BOP Penanganan Keadaan Darurat Kerusakan Sarana/Prasarana Jalan Ruas Jalan Simpar Kajenengan Desa Sangkanayu Kecamatan Bojong Kabupaten Tegal</t>
  </si>
  <si>
    <t>72. Penanganan Keadaan Darurat Kerusakan Sarana/Prasarana Jalan Ruas Jalan Simpar Kajenengan Desa Sangkanayu Kecamatan Bojong Kabupaten Tegal</t>
  </si>
  <si>
    <t>73. Biaya Oprasional Rekonstruksi Jalan</t>
  </si>
  <si>
    <t>74. Penanganan Keadaan Darurat Kerusakan Sarana / Prasarana Jalan Ruas Jalan Capar - Padasari Desa Padasari Kec. Jatinegara Kab. Tegal</t>
  </si>
  <si>
    <t>75. BOP Penanganan Keadaan Darurat Kerusakan Sarana / Prasarana Jalan Ruas Jalan Capar - Padasari Desa Padasari Kec. Jatinegara Kab. Tegal</t>
  </si>
  <si>
    <t>76. Pembangunan Talud Ruas Cenggini - Cenggini</t>
  </si>
  <si>
    <t>77. Pembangunan Talud Ruas Jalan Batuagung - Kalibakung</t>
  </si>
  <si>
    <t>78. Pembangunan Talud Ruas Senggang - Karangjambu</t>
  </si>
  <si>
    <t xml:space="preserve">1.03.10.2.01.0034 </t>
  </si>
  <si>
    <t>Pemeliharaan Berkala Jalan</t>
  </si>
  <si>
    <t>1. Peningkatan Ruas Jalan Maribaya - Kepel</t>
  </si>
  <si>
    <t>2. Peningkatan Ruas Jalan Jatibogor - Kemuning</t>
  </si>
  <si>
    <t>3. Peningkatan Ruas Jalan Tanjungharja - Plumbungan</t>
  </si>
  <si>
    <t>4. Peningkatan Ruas Jalan Kepel - Kesadikan</t>
  </si>
  <si>
    <t>5. Peningkatan Ruas Jalan Kertayasa - Bongkok</t>
  </si>
  <si>
    <t>6. Peningkatan Ruas Jalan Kramat - Kertayasa</t>
  </si>
  <si>
    <t>7. Peningkatan Ruas Jalan Balamoa - Bader</t>
  </si>
  <si>
    <t>8. Peningkatan Ruas Jalan Gembongdadi- Kebandingan</t>
  </si>
  <si>
    <t>9. Peningkatan Ruas Jalan Plumbungan - Kramat</t>
  </si>
  <si>
    <t>10. Peningkatan Ruas Jalan Sigentong - Semedo (Lanjutan)</t>
  </si>
  <si>
    <t>11. Peningkatan Ruas Jalan Kertasari - Sukarejo Warurejo</t>
  </si>
  <si>
    <t>12. Peningkatan Ruas Jalan Jatimulyo - Kertasari Suradadi</t>
  </si>
  <si>
    <t>13. Peningkatan Ruas Jalan Kemantran - Jatibogor suradadi</t>
  </si>
  <si>
    <t>14. Peningkatan Ruas Jalan Sidaharja - Jatibogor</t>
  </si>
  <si>
    <t>15. Peningkatan Ruas Jalan Kemantran - Kepunduhan</t>
  </si>
  <si>
    <t>16. Peningkatan Ruas Jalan Bongkok - Jatilawang</t>
  </si>
  <si>
    <t>17. Peningkatan Ruas Jalan Mejasem Timur - Pala 6</t>
  </si>
  <si>
    <t>18. Peningkatan Ruas Jalan Jatilawang - Dinuk</t>
  </si>
  <si>
    <t>19. Peningkatan Ruas Jalan Kemuning - Plumbungan</t>
  </si>
  <si>
    <t>20. Peningkatan Ruas Jalan Peleman - Sidaharja</t>
  </si>
  <si>
    <t>21. Peningkatan Ruas Jalan Jatibogor - Kebandingan (MTs Husnaba)</t>
  </si>
  <si>
    <t>22. Peningkatan Ruas Jalan Suradadi - Jatimulya</t>
  </si>
  <si>
    <t>23. Peningkatan Ruas Jalan Kertasari-Bojongsana</t>
  </si>
  <si>
    <t>24. Peningkatan Ruas Jalan Suradadi - Bader</t>
  </si>
  <si>
    <t>25. Peningkatan Ruas Jalan Banjar Agung - Kedungkelor</t>
  </si>
  <si>
    <t>26. Peningkatan Jalan ruas Jalan Balamoa - Gembongdadi</t>
  </si>
  <si>
    <t>27. Peningkatan Jalan ruas jalan Tanjungharja-Kemuning</t>
  </si>
  <si>
    <t>28. Peningkatan Jalan Ruas Jalan Kedungkelor - Dukuh Panjatan</t>
  </si>
  <si>
    <t>29. Peningkatan Jalan Ruas Jatimulya - Harjasari</t>
  </si>
  <si>
    <t>30. Pengaspalan Jalan Ruas Suradadi - Kertasari</t>
  </si>
  <si>
    <t>31. Pengaspalan Jalan Ruas Demangharjo Timur - Demangharjo</t>
  </si>
  <si>
    <t>32. Perbaikan Jalan Ruas Jalan Peleman - Sidaharja</t>
  </si>
  <si>
    <t>33. Peningkatan Jalan Penghubung Ruas Jalan Demangharjo - Rangimulya</t>
  </si>
  <si>
    <t>34. Peningkatan Jalan Ruas Jalan Plumbungan - Kramat</t>
  </si>
  <si>
    <t>35. Peningkatan JalanPenghubung Ruas Jalan Sigentong - Sidamulya</t>
  </si>
  <si>
    <t>36. Lanjutan Peningkatan Jalan Ruas Sidamulya - Sidamulya</t>
  </si>
  <si>
    <t>37. Peningkatan Jalan Ruas Jalan Bongkok - Kertayasa</t>
  </si>
  <si>
    <t>38. Perbaikan Jalan Ruas Jalan Grogolan Jatimulya - Kertasari</t>
  </si>
  <si>
    <t>39. Peningkatan Jalan Lingkar Ruas Suradadi - Suradadi</t>
  </si>
  <si>
    <t>40. Peningkatan Jalan Ruas Sidamulya - Semedo</t>
  </si>
  <si>
    <t>41. Peningkatan Jalan Ruas Dukuh Siwen - Kertasari</t>
  </si>
  <si>
    <t>42. Pengaspalan Jalan Pala 27 Desa Mejasem Timur</t>
  </si>
  <si>
    <t>43. Perbaikan Jalan Ruas Jalan Kepel - Maribaya, Kramat</t>
  </si>
  <si>
    <t>44. Konsultan Perencana Peningkatan Ruas Jalan Balamoa - Bader</t>
  </si>
  <si>
    <t>45. Konsultan Perencana Peningkatan Ruas Jalan Jatibogor - Kemuning</t>
  </si>
  <si>
    <t>46. Konsultan Perencana Peningkatan Ruas Jalan Kepel - Kesadikan</t>
  </si>
  <si>
    <t>47. Konsultan Perencana Peningkatan Ruas Jalan Maribaya - Kepel</t>
  </si>
  <si>
    <t>48. Konsultan Perencana Peningkatan Ruas Jalan Sidaharja - Jatibogor</t>
  </si>
  <si>
    <t>49. Konsultan Perencana Peningkatan Ruas Jalan Sigentong - Semedo (Lanjutan)</t>
  </si>
  <si>
    <t>50. Konsultan Pengawas Peningkatan Ruas Jalan Balamoa - Bader</t>
  </si>
  <si>
    <t>51. Konsultan Pengawas Peningkatan Ruas Jalan Jatibogor - Kemuning</t>
  </si>
  <si>
    <t>52. Konsultan Pengawas Peningkatan Ruas Jalan Kepel - Kesadikan</t>
  </si>
  <si>
    <t>53. Konsultan Pengawas Peningkatan Ruas Jalan Maribaya - Kepel</t>
  </si>
  <si>
    <t>54. Konsultan Pengawas Peningkatan Ruas Jalan Sidaharja - Jatibogor</t>
  </si>
  <si>
    <t>55. Konsultan Pengawas Peningkatan Ruas Jalan Sigentong - Semedo (Lanjutan)</t>
  </si>
  <si>
    <t>56. Peningkatan Jalan Kaladawa - Karangdawa (Getas Kerep Cangkring)</t>
  </si>
  <si>
    <t>70. Peningkatan ruas jalan kaladawa - wangandawa</t>
  </si>
  <si>
    <t>57. Peningkatan Ruas Jalan Setu - Mindaka</t>
  </si>
  <si>
    <t>58. Peningkatan Ruas Jalan Karangjati - Margapadang</t>
  </si>
  <si>
    <t>59. Peningkatan Ruas Jalan Tegal Wangi - Debong Kidul</t>
  </si>
  <si>
    <t>60. Peningkatan Ruas Jalan Margapadang - Kesamiran</t>
  </si>
  <si>
    <t>61. Pengaspalan Jalan Ruas Mangunsaren -Kesadikan</t>
  </si>
  <si>
    <t>62. Peningkatan Jalan ruas Jalan Kemanggungan - Dawuhan</t>
  </si>
  <si>
    <t>63. Pengaspalan Jalan ruas jalan Lawatan - Pecanggakan di Pecanggakan</t>
  </si>
  <si>
    <t>64. Pengaspalan Jalan ruas jalan Pesayangan - Dukuhmalang</t>
  </si>
  <si>
    <t>65. Pengaspalan Jalan ruas jalan Tembokluwung - Tembokluwung</t>
  </si>
  <si>
    <t>66. Peningkatan Jalan ruas jalan Kaligayam - Pesayangan di Pesayangan</t>
  </si>
  <si>
    <t>67. Pengaspalan jalan ruas jalan getaskerep - sulang</t>
  </si>
  <si>
    <t>68. Pengaspalan Jalan Ruas Jalan Lemahduwur - Pesarean</t>
  </si>
  <si>
    <t>69. Peningkatan Jalan Ruas jalan kepandean - dukuh jombang</t>
  </si>
  <si>
    <t>71. Peningkatan jalan ruas jalan gondangdia - kepandean</t>
  </si>
  <si>
    <t>72. Pengaspalan Jalan ruas jalan Sutapranan - Langon</t>
  </si>
  <si>
    <t>73. Pengaspalan Jalan ruas jalan Lawatan - Kupu Dukuhturi</t>
  </si>
  <si>
    <t>74. Peningkatan Jalan Ruas Pacul - Kandemangaran (Balai Desa Ke Timur )</t>
  </si>
  <si>
    <t>75. Pengaspalan Jalan Ruas Jetis Kec. Adiwerna</t>
  </si>
  <si>
    <t>76. Pengaspalan Jalan Ruas Harjosari Kidul - Kalisoka ( Harjosari Kidul )</t>
  </si>
  <si>
    <t>77. Pengaspalan Jalan Ruas Dukuh Pesawahan-Adiwerna ( Adiwerna )</t>
  </si>
  <si>
    <t>78. Pengaspalan Jalan Ruas Jalan Kedungsukun - Gumalar</t>
  </si>
  <si>
    <t>79. Pengaspalan Jalan Ruas ujungrusi - Sindang ( Harjosari Lor)</t>
  </si>
  <si>
    <t>80. Pengaspalan Jalan Ruas No. 56 Jalan Gagak Ruas Pedeslohor -Kalipucang (Pedeslohor)</t>
  </si>
  <si>
    <t>81. Peningkatan jalan ruas jalan kaladawa - bengle</t>
  </si>
  <si>
    <t>82. Perbaikan jalan ruas jalan pesayangan - dukuhmalang</t>
  </si>
  <si>
    <t>83. Peningkatan jalan ruas jalan Lebeteng - Karangmangu</t>
  </si>
  <si>
    <t>84. Peningkatan jalan ruas jalan purbasana - kabukan</t>
  </si>
  <si>
    <t>85. Peningkatan jalan Ruas Jalan Singkil - Gumalar</t>
  </si>
  <si>
    <t>86. Pengaspalan Jalan ruas jalan Penarukan - Kaliwadas</t>
  </si>
  <si>
    <t>87. Peningkatan Jalan Ruas Jalan ketanggungan lumingser</t>
  </si>
  <si>
    <t>88. Pengaspalan jalan ruas jalan SMIK Adiwerna - Pasarbawang</t>
  </si>
  <si>
    <t>89. Pengaspalan ruas jalan kebasen - kajen</t>
  </si>
  <si>
    <t>90. Peningkatan Jalan Ruas Getaskerep - Pacul</t>
  </si>
  <si>
    <t>91. Peningkatan Jalan Ruas Jalan Mangunsaren - Kesamiran</t>
  </si>
  <si>
    <t>92. Peningkatan Jalan ruas jalan Pekauman kulon - Pepedan kec Dukuhturi</t>
  </si>
  <si>
    <t>93. Konsultan Perencana Peningkatan Ruas Jalan Tegal Wangi - Debong Kidul</t>
  </si>
  <si>
    <t>94. Konsultan Pengawas Peningkatan Ruas Jalan Tegal Wangi - Debong Kidul</t>
  </si>
  <si>
    <t>95. Peningkatan Ruas Jalan Danareja - Mokaha</t>
  </si>
  <si>
    <t>96. Peningkatan Ruas Jalan Grobog kulon - Grobok kulon</t>
  </si>
  <si>
    <t>97. Peningkatan Ruas Jalan Tonggara - Kebandingan</t>
  </si>
  <si>
    <t>98. Peningkatan Ruas Jalan Pangkah - Cacaban</t>
  </si>
  <si>
    <t>99. Peningkatan Jalan Menuju Komplek Kantor Kecamatan Kedung Banteng</t>
  </si>
  <si>
    <t>100. Peningkatan Ruas Jalan Bogares - Pangkah</t>
  </si>
  <si>
    <t>101. Peningkatan Jalan ruas Jalan Dukuh Jati Wetan - Kebandingan di Sumingkir</t>
  </si>
  <si>
    <t>102. Peningkatan Jalan Ruas Jalan Grobog Wetan - Grobog Kulon</t>
  </si>
  <si>
    <t>103. Peningkatan Jalan ruas jalan Jatinegara Gantungan Kec. Jatinegara</t>
  </si>
  <si>
    <t>104. Peningkatan jalan ruas jalan jatinegara - lembasari kec. Jatinegara</t>
  </si>
  <si>
    <t>105. Peningkatan jalan ruas jalan tamansari - wotgalih kec. Jatinegara</t>
  </si>
  <si>
    <t>106. Peningkatan jalan ruas jalan dukuhbangsa - wanarata</t>
  </si>
  <si>
    <t>107. Peningkatan jalan ruas Jalan wanarata - wotgalih</t>
  </si>
  <si>
    <t>108. Perbaikan jalan ruas jalan padasari - capar</t>
  </si>
  <si>
    <t>109. Perbaikan jalan ruas jalan Jatirawa - Grobogwetan</t>
  </si>
  <si>
    <t>110. Peningkatan jalan Ruas jalan padasari - padareka (jalan penghubung desa padasari), jatinegara</t>
  </si>
  <si>
    <t>111. Peningkatan Jalan Ruas Pener - Dermasuci</t>
  </si>
  <si>
    <t>112. Peningkatan Jalan Ruas Jalan Jatinegara - dukuhbangsa</t>
  </si>
  <si>
    <t>113. Peningkatan Jalan Ruas Penusupan - Dermasuci</t>
  </si>
  <si>
    <t>114. Konsultan Perencana Peningkatan Ruas Jalan Danareja â€“ Mokaha</t>
  </si>
  <si>
    <t>115. Konsultan Pengawas Peningkatan Ruas Jalan Danareja â€“ Mokaha</t>
  </si>
  <si>
    <t>116. Peningkatan Ruas Jalan KH. Wahid Hasyim</t>
  </si>
  <si>
    <t>117. Peningkatan Ruas Jalan Gumayun - Dukuhdamu</t>
  </si>
  <si>
    <t>118. Peningkatan Ruas Jalan Gumayun - Kalisoka</t>
  </si>
  <si>
    <t>119. Peningkatan Ruas Jalan Jatimulya - Jatimulya Kec. Lebaksiu</t>
  </si>
  <si>
    <t>120. Peningkatan Jalan Dukuhdamu - Slarang Kidul</t>
  </si>
  <si>
    <t>121. Peningkatan Jalan ruas jalan Slarang Lor - Slarang Kidul</t>
  </si>
  <si>
    <t>122. Peningkatan Jalan ruas jalan Lebaksiu Kidul - Lebaksiu Kidul</t>
  </si>
  <si>
    <t>123. Peningkatan Jalan ruas jalan Slarang Kidul - Kambangan</t>
  </si>
  <si>
    <t>124. Peningkatan Jalan Blubuk - Blubuk</t>
  </si>
  <si>
    <t>125. Pengaspalan Jalan Gunung Slamet 2 Desa Blubuk (Ruas Jalan Blubuk - Bulakpacing)</t>
  </si>
  <si>
    <t>126. Peningkatan Jalan Ruas jalan trisanja</t>
  </si>
  <si>
    <t>127. Pembuatan Jalan Ruas Jalan Teri II Desa Kalisapu</t>
  </si>
  <si>
    <t>128. pengaspalan Jalan ruas jalan cemara</t>
  </si>
  <si>
    <t>129. Pemeliharaan Jalan ruas jalan johar kelurahan kagok kecamatan Slawi</t>
  </si>
  <si>
    <t>130. Pemeliharaan Jalan ruas jalan randu kelurahan kagok kecamatan Slawi</t>
  </si>
  <si>
    <t>131. Peningkatan jalan ruas jalan yomani - yomani</t>
  </si>
  <si>
    <t>132. Pengaspalan Jalan Kambangan- Tegalandong</t>
  </si>
  <si>
    <t>133. pembuatan jalan Ruas Jalan Cut Nyak Dien desa kalisapu</t>
  </si>
  <si>
    <t>134. Pengaspalan Jalan Ruas Jalan budi mulya slawi wetan Kecamatan Slawi</t>
  </si>
  <si>
    <t>135. Pengaspalan Jalan Ruas Jalan Pedeslohor - Pedeslohor</t>
  </si>
  <si>
    <t>136. Konsultan Perencana Peningkatan Ruas Jalan KH. Wahid Hasyim</t>
  </si>
  <si>
    <t>137. Konsultan Pengawas Peningkatan Ruas Jalan KH. Wahid Hasyim</t>
  </si>
  <si>
    <t>138. Peningkatan Ruas Jalan Kalisalak - Margaayu</t>
  </si>
  <si>
    <t>139. Peningkatan Ruas Jalan Balapulang - Balaradin</t>
  </si>
  <si>
    <t>140. Peningkatan Ruas Jalan Margasari - Jedug - Pagerbarang</t>
  </si>
  <si>
    <t>141. Peningkatan Ruas Jalan Timbangreja - Sangkanjaya</t>
  </si>
  <si>
    <t>142. Peningkatan Ruas Jalan Balapulang - Semboja</t>
  </si>
  <si>
    <t>143. Peningkatan Jalan Surokidul - Pagerbarang</t>
  </si>
  <si>
    <t>144. Peningkatan Jalan Margasari - Kalisalak</t>
  </si>
  <si>
    <t>145. Peningkatan Jalan Randusari - Jatipelag</t>
  </si>
  <si>
    <t>146. Peningkatan Jalan Pamiritan - Wringinjenggot</t>
  </si>
  <si>
    <t>147. Peningkatan Ruas Jalan MAN 2 Pagerbarang - Kertaharja</t>
  </si>
  <si>
    <t>148. Peningkatan Jalan Ruas Jalan Kaligimber - Kaligimber</t>
  </si>
  <si>
    <t>149. Peningkatan Jalan Ruas Jalan Pesarean - Kedungsugih</t>
  </si>
  <si>
    <t>150. Peningkatan Jalan Ruas Jalan Sipuyuh - Pagerbarang</t>
  </si>
  <si>
    <t>151. Peningkatan Jalan Ruas Jalan Srengseng - Srengseng</t>
  </si>
  <si>
    <t>152. Pengaspalan jalan Ruas Jalan Margasari - margasari Kecamatan Margasari</t>
  </si>
  <si>
    <t>153. Peningkatan Jalan Ruas Karangdawa - Cibunar</t>
  </si>
  <si>
    <t>154. Peningkatan Jalan Margasari - Jedug</t>
  </si>
  <si>
    <t>155. Peningkatan Jalan Ruas Jalan Pagerbarang - Randusari</t>
  </si>
  <si>
    <t>156. Pengaspalan jalan Ruas Jalan Dukuhtengah Wanasari</t>
  </si>
  <si>
    <t>158. Pengaspalan Jalan Ruas Jalan Kaligayam - Dukuhtengah</t>
  </si>
  <si>
    <t>157. Peningkatan Jalan Ruas Jalan Cenggini - Cenggini</t>
  </si>
  <si>
    <t>159. Peningkatan Jalan Ruas Jalan Batuagung - Cenggini</t>
  </si>
  <si>
    <t>160. Pengaspalan jalan ruas jalan danawarih - wringinjenggot</t>
  </si>
  <si>
    <t>161. Pengaspalan jalan Ruas Jalan Jatilaba Karangdawa kec margasari lokasi di Jatilaba</t>
  </si>
  <si>
    <t>162. Pengaspalan jalan ruas jalan kalibakung - senggang</t>
  </si>
  <si>
    <t>163. Peningkalan Jalan/Pengaspalan jalan Ruas Jalan Jatiwangi Pagerbarang lokasi di polsek Jatiwangi</t>
  </si>
  <si>
    <t>164. Peningkatan jalan ruas jalan margasari - pakulaut (jl. Garuda)</t>
  </si>
  <si>
    <t>165. Konsultan Perencana Peningkatan Ruas Jalan Balapulang - Semboja</t>
  </si>
  <si>
    <t>166. Konsultan Perencana Peningkatan Ruas Jalan Margasari - Jedug - Pagerbarang</t>
  </si>
  <si>
    <t>167. Konsultan Perencana Peningkatan Ruas Jalan Timbangreja - Sangkanjaya</t>
  </si>
  <si>
    <t>168. Konsultan Pengawas Peningkatan Ruas Jalan Balapulang - Semboja</t>
  </si>
  <si>
    <t>169. Konsultan Pengawas Peningkatan Ruas Jalan Margasari - Jedug - Pagerbarang</t>
  </si>
  <si>
    <t>170. Konsultan Pengawas Peningkatan Ruas Jalan Timbangreja - Sangkanjaya</t>
  </si>
  <si>
    <t>171. Pemeliharaan Berkala Jalan Tuwel - Guci (DAK)</t>
  </si>
  <si>
    <t>172. Peningkatan Ruas Jalan Bojong - Sokasari</t>
  </si>
  <si>
    <t>173. Peningkatan Jalan ruas Jalan Sigedong - Dukuhbenda</t>
  </si>
  <si>
    <t>174. Peningkatan Jalan ruas Jalan Batumirah - Dukuhbenda</t>
  </si>
  <si>
    <t>175. Peningkatan Jalan ruas Jalan Dukuhrawa - Cintamanik</t>
  </si>
  <si>
    <t>176. Peningkatan Jalan Ruas jalan Gunungjati - Pucangluwuk</t>
  </si>
  <si>
    <t>177. Perbaikan Jalan Ruas Jalan Sokasari - Sokatengah</t>
  </si>
  <si>
    <t>178. Peningkatan Jalan ruas jalan Dukuhbujil - Dukuh siketi</t>
  </si>
  <si>
    <t>179. Peningkatan Jalan Dukuh Siketi - Dukuh Glempang</t>
  </si>
  <si>
    <t>180. Peningkatan Jalan Ruas Bumijawa - Gupakan</t>
  </si>
  <si>
    <t>181. Peningkatan Jalan Ruas Krikil - Cintamanik</t>
  </si>
  <si>
    <t>182. Konsultan Pengawas Pemeliharaan Berkala Jalan Tuwel - Guci</t>
  </si>
  <si>
    <t>183. Biaya Umum</t>
  </si>
  <si>
    <t>184. Lanjutan Peningkatan Jalan Pener - Dermasuci</t>
  </si>
  <si>
    <t>185. Pengaspalan Jalan Ruas Jalan Durian</t>
  </si>
  <si>
    <t>186. Pengaspalan Jalan Ruas Jalan Kalikangkung - Grobog Wetan</t>
  </si>
  <si>
    <t>187. Peningkatan jalan Ruas Cenggini - Cenggini</t>
  </si>
  <si>
    <t>188. Peningkatan Jalan Ruas Jalan Bumijawa - Jejeg</t>
  </si>
  <si>
    <t>189. Peningkatan Jalan Ruas Jalan Bumijawa - Sumbaga</t>
  </si>
  <si>
    <t>190. ] Peningkatan jalan Ruas Margasari - Pakulaut</t>
  </si>
  <si>
    <t xml:space="preserve">1.03.10.2.01.0037 </t>
  </si>
  <si>
    <t>Pelebaran Jalan Menuju Standar</t>
  </si>
  <si>
    <t>1. Pelebaran Aspal, Jalan Dr. Wahidin, Slawi</t>
  </si>
  <si>
    <t>2. Pelebaran Jalan Dukuhbujil - Dukuh Siketi</t>
  </si>
  <si>
    <t>3. Pelebaran Jalan ruas Jalan Bumijawa - Muncanglarang</t>
  </si>
  <si>
    <t>4. Pelebaran jalan ruas jalan jejeg â€“ gunung agung</t>
  </si>
  <si>
    <t>5. Pelebaran Jalan ruas jalan Pagerkasih - jejeg</t>
  </si>
  <si>
    <t>6. Pelebaran Jalan Semboja - Randusari (DAK)</t>
  </si>
  <si>
    <t>7. Konsultan Pengawas Pelebaran Jalan Semboja - Randusari</t>
  </si>
  <si>
    <t>8. BOP</t>
  </si>
  <si>
    <t xml:space="preserve">1.03.10.2.01.0038 </t>
  </si>
  <si>
    <t>Pemeliharaan Rutin Jembatan</t>
  </si>
  <si>
    <t>1. Perbaikan Jembatan Kali Buangan II Ruas Jalan Tanjungharja - Plumbungan di Kemuning (Kramat)</t>
  </si>
  <si>
    <t>2. Pemeliharaan Rutin Jembatan UPTD Wilayah I</t>
  </si>
  <si>
    <t>3. Pemeliharaan Rutin Jembatan UPTD Wilayah II</t>
  </si>
  <si>
    <t>4. Pemeliharaan Rutin Jembatan UPTD Wilayah III</t>
  </si>
  <si>
    <t>5. Pemeliharaan Rutin Jembatan UPTD Wilayah IV</t>
  </si>
  <si>
    <t>6. Pemeliharaan Rutin Jembatan UPTD Wilayah V</t>
  </si>
  <si>
    <t>7. Pemeliharaan Rutin Jembatan UPTD Wilayah VI</t>
  </si>
  <si>
    <t>8. Pengadaan dan Pemasangan Tolo - Tolo dan Prasasti Jembatan</t>
  </si>
  <si>
    <t>9. Pemeliharaan Rutin Jembatan Kali Erang</t>
  </si>
  <si>
    <t>10. BOP</t>
  </si>
  <si>
    <t>11. Pengecatan Jembatan Kabupaten Tegal</t>
  </si>
  <si>
    <t xml:space="preserve">1.03.10.2.01.0039 </t>
  </si>
  <si>
    <t>Rehabilitasi Jembatan</t>
  </si>
  <si>
    <t>1. Perbaikan Jembatan Ruas Jalan Jatibogor - Kertasari</t>
  </si>
  <si>
    <t>2. Perbaikan Jembatan Ruas Jalan Jatinegara - Tamansari</t>
  </si>
  <si>
    <t>3. Perbaikan jembatan ruas jalan danawarih - wringinjenggot</t>
  </si>
  <si>
    <t>4. Pelebaran jembatan kaliwadas ruas jalan pesarean - surokidul</t>
  </si>
  <si>
    <t>5. Pelebaran jembatan ruas jalan karangdawa - cibunar</t>
  </si>
  <si>
    <t>6. Rehabilitasi Jembatan ruas jalan yomani - yomani</t>
  </si>
  <si>
    <t>7. Pelebaran Jembatan Ruas Jalan Jejeg - Pagerkasih</t>
  </si>
  <si>
    <t>8. Pelebaran jembatan ruas jalan Diwung - Cikura</t>
  </si>
  <si>
    <t>9. Perbaikan jembatan ruas jalan kedungsugih - kertaharja</t>
  </si>
  <si>
    <t xml:space="preserve">1.03.10.2.01.0040 </t>
  </si>
  <si>
    <t>Pembangunan Jembatan</t>
  </si>
  <si>
    <t>1. Pengadaan Rangka Jembatan Kali Erang</t>
  </si>
  <si>
    <t>2. Pembangunan Jembatan Gambrik - Pagerbarang</t>
  </si>
  <si>
    <t>3. Pembangunan jembatan Tanjungharja - Jatibogor</t>
  </si>
  <si>
    <t>Tidak Dilaksanakan (Karena Jembatan Desa)</t>
  </si>
  <si>
    <t>4. Pembangunan Jembatan Ruas Jalan Capar - Padasari</t>
  </si>
  <si>
    <t>5. Pembangunan Jembatan KedungJati ruas jalan kedungjati - Cipero di RW 5</t>
  </si>
  <si>
    <t>6. Pembangunan jembatan krepak ruas jalan balapulang kulon - balapulang wetan</t>
  </si>
  <si>
    <t>7. Pembangunan Jembatan Dukuh siketi - Dukuh Glempang</t>
  </si>
  <si>
    <t>8. Pembangunan Jembatan Kecil Sidaharja</t>
  </si>
  <si>
    <t>9. Konsultan Pengawas Pembangunan Jembatan Gambrik - Pagerbarang</t>
  </si>
  <si>
    <t>10. Konsultan Pengawas Pembangunan Jembatan Kali Erang</t>
  </si>
  <si>
    <t>11. Konsultan Pengawas Pembangunan Jembatan Gambrik - Pagerbarang</t>
  </si>
  <si>
    <t>12. Konsultan Perencana Pembangunan Jembatan Kali Erang</t>
  </si>
  <si>
    <t>13. BOP</t>
  </si>
  <si>
    <t>14. Penanganan Keadaan Darurat Kerusakan Sarana / Prasarana Jembatan Kalierang Desa Cilongok Kecamatan Balapulang Kabupaten Tegal</t>
  </si>
  <si>
    <t>15. BOP Penanganan Keadaan Darurat Kerusakan Sarana / Prasarana Jembatan Kalierang Desa Cilongok Kecamatan Balapulang Kabupaten Tegal</t>
  </si>
  <si>
    <t xml:space="preserve">1.03.10.2.01.0044 </t>
  </si>
  <si>
    <t>Rehabilitasi Jalan</t>
  </si>
  <si>
    <t>1. Peningkatan Ruas Jalan Kabunan - Dukuhdamu</t>
  </si>
  <si>
    <t>2. Peningkatan Ruas Jalan Grobog Kulon - Bedug</t>
  </si>
  <si>
    <t xml:space="preserve">1.03.10.2.01.0046 </t>
  </si>
  <si>
    <t>Pemeliharaan Rutin Jalan</t>
  </si>
  <si>
    <t>2. Pengadaan Aspal Cool Mix Tahap I</t>
  </si>
  <si>
    <t>3. Pengadaan Aspal Cool Mix Tahap II</t>
  </si>
  <si>
    <t>4. Pengadaan Aspal Cool Mix Tahap III</t>
  </si>
  <si>
    <t>5. Pengadaan Aspal Cool Mix Tahap IV</t>
  </si>
  <si>
    <t>6. Pengadaan Box Culvert</t>
  </si>
  <si>
    <t>7. Survei Kondisi Jalan dan Jembatan UPTD I</t>
  </si>
  <si>
    <t>8. Survei Kondisi Jalan dan Jembatan UPTD II</t>
  </si>
  <si>
    <t>9. Survei Kondisi Jalan dan Jembatan UPTD III</t>
  </si>
  <si>
    <t>10. Survei Kondisi Jalan dan Jembatan UPTD IV</t>
  </si>
  <si>
    <t>11. Survei Kondisi Jalan dan Jembatan UPTD V</t>
  </si>
  <si>
    <t>12. Survei Kondisi Jalan dan Jembatan UPTD VI</t>
  </si>
  <si>
    <t>13. Pemeliharaan Rutin Jalan Cempaka Kec. Slawi</t>
  </si>
  <si>
    <t>14. Pemeliharaan Rutin Jalan Melati Kec. Slawi</t>
  </si>
  <si>
    <t>15. Pemeliharaan Rutin Jalan Sumatera Kec. Slawi</t>
  </si>
  <si>
    <t>16. Pemeliharaan Rutin Jalan Slamet Kec. Slawi</t>
  </si>
  <si>
    <t>17. Pemeliharaan Rutin Jalan Jeruk Kec. Slawi</t>
  </si>
  <si>
    <t>18. Pemeliharaan Rutin Jalan Lele Kec. Slawi</t>
  </si>
  <si>
    <t>19. Pemeliharaan Rutin Jalan Rajawali Kec. Slawi</t>
  </si>
  <si>
    <t>20. Pemeliharaan Rutin Jalan Jatimulya - Tegalandong</t>
  </si>
  <si>
    <t>21. Pemeliharaan Rutin Jalan Lebakgowah - Balaradin</t>
  </si>
  <si>
    <t>22. Pemeliharaan Rutin Jalan Lebaksiu Kidul - Timbangreja</t>
  </si>
  <si>
    <t>23. Pemeliharaan Rutin Jalan Yamansari - Kajen</t>
  </si>
  <si>
    <t>24. Pemeliharaan Rutin Jalan Jrakah - Timbangreja</t>
  </si>
  <si>
    <t>25. Pemeliharaan Rutin Jalan Tembus 407 dan Perlintasan KA Ke Tembok Kidul</t>
  </si>
  <si>
    <t>26. Pemeliharaan Rutin Jalan Banjaran - Banjaran dan Jalan Menuju SD Budi Mulia</t>
  </si>
  <si>
    <t>27. Pemeliharaan Rutin Jalan Sitail - Pondok Pesantren Cikura</t>
  </si>
  <si>
    <t>28. Pemeliharaan Rutin Jalan Babakan - Kertayasa Kec. Kramat</t>
  </si>
  <si>
    <t>29. Pemeliharaan Rutin Jalan Kertayasa - Jatibogor Kec. Kramat</t>
  </si>
  <si>
    <t>30. Pemeliharaan Rutin Jalan Siklepuh - Wangandawa</t>
  </si>
  <si>
    <t>31. Pemeliharaan Rutin Jalan Balamoa - Karangmalang</t>
  </si>
  <si>
    <t>32. Pemeliharaan Rutin Jalan Dampyak - Mejasem Timur</t>
  </si>
  <si>
    <t>33. Pemeliharaan Rutin Jalan Lawatan - Kupu Kec. Dukuhturi</t>
  </si>
  <si>
    <t>34. Pemeliharaan Rutin Jalan Kesamiran - Karangjati (Lanjutan)</t>
  </si>
  <si>
    <t>35. Pemeliharaan Rutin Jalan Kaladawa - Mejasem</t>
  </si>
  <si>
    <t>36. Pemeliharaan Rutin Jalan Trisanja dan Jalan RP Suroso</t>
  </si>
  <si>
    <t>37. Pemeliharaan Rutin Jalan Dukuhturi - Sumurpanggang</t>
  </si>
  <si>
    <t>38. Pemeliharaan Rutin Jalan Kepandean - Perbatasan Kota Tegal</t>
  </si>
  <si>
    <t>39. Pemeliharaan Rutin Jalan Jatinegara - Penyalahan</t>
  </si>
  <si>
    <t>40. Pemeliharaan Rutin Jalan Sigentong - Semedo</t>
  </si>
  <si>
    <t>41. Pemeliharaan Rutin Jalan Penyalahan - Cikura</t>
  </si>
  <si>
    <t>42. Pemeliharaan Rutin Jalan Kaligayam - Pesayangan (Lokasi Ponpes Giren)</t>
  </si>
  <si>
    <t>43. Pemeliharaan Rutin Jalan Tamansari - Wotgalih</t>
  </si>
  <si>
    <t>44. Pemeliharaan Rutin Jalan Trayeman - Singkil</t>
  </si>
  <si>
    <t>45. Pemeliharaan Rutin Jalan Singkil - Debongkidul</t>
  </si>
  <si>
    <t>46. Pemeliharaan Rutin Jalan Yomani - Timbangreja</t>
  </si>
  <si>
    <t>47. Pemeliharaan Rutin Jalan Timbangreja - Kalibakung</t>
  </si>
  <si>
    <t>48. Pemeliharaan Rutin Jalan Kalibakung - Karangjambu</t>
  </si>
  <si>
    <t>49. Pemeliharaan Rutin Jalan Karangjambu - Tuwel</t>
  </si>
  <si>
    <t>50. Pemeliharaan Rutin Jalan Dawuan - Getaskerep</t>
  </si>
  <si>
    <t>51. Pemeliharaan Rutin Jalan Margasari - Kalisalak</t>
  </si>
  <si>
    <t>52. Pemeliharaan Rutin Jalan Batuagung - Cenggini</t>
  </si>
  <si>
    <t>53. Pemeliharaan Rutin Jalan Banjaranyar - Kalibakung</t>
  </si>
  <si>
    <t>54. Pemeliharaan Rutin Jalan Dukuhbujil - Dukuhbenda</t>
  </si>
  <si>
    <t>55. Pemeliharaan Rutin Jalan Batumirah - Sudikampir</t>
  </si>
  <si>
    <t>56. Pemeliharaan Rutin Jalan Batunyana - Danasari</t>
  </si>
  <si>
    <t>57. Pemeliharaan Rutin Jalan Bojong - Batunyana</t>
  </si>
  <si>
    <t>58. Pemeliharaan Rutin Jalan Batumirah - Dukuhbenda</t>
  </si>
  <si>
    <t>59. Pemeliharaan Rutin Jalan Simpar - Gunungjati</t>
  </si>
  <si>
    <t>60. Pemeliharaan Rutin Jalan Kajenengan - Kalijambu</t>
  </si>
  <si>
    <t>61. Pemeliharaan Rutin Jalan Bumijawa - Mucanglarang</t>
  </si>
  <si>
    <t>62. Pemeliharaan Rutin Jalan Muncanglarang - Jejeg</t>
  </si>
  <si>
    <t>63. Pemeliharaan Rutin Jalan Jejeg - Krikil</t>
  </si>
  <si>
    <t>64. Biaya Umum</t>
  </si>
  <si>
    <t>65. Pengadaan Aspal Drum</t>
  </si>
  <si>
    <t>66. Pemeliharaan Rutin Jalan Adiwerna - Singkil - Kalipucang</t>
  </si>
  <si>
    <t>67. Pemeliharaan Rutin Jalan Yamansari - Benconang</t>
  </si>
  <si>
    <t>68. Pemeliharaan Rutin Jalan Bogares - Pangkah - Balamoa</t>
  </si>
  <si>
    <t>69. Pemeliharaan Rutin Jalan Banjaran - Kalikangkung</t>
  </si>
  <si>
    <t>70. Pemeliharaan Rutin Jalan Balamoa - Jenggul</t>
  </si>
  <si>
    <t>71. Pemeliharaan Rutin Jalan Perkotaan Slawi</t>
  </si>
  <si>
    <t>72. Pemeliharaan Rutin Halaman Polres Tegal</t>
  </si>
  <si>
    <t>73. Pemeliharaan Rutin Jalan Kantor Benglap</t>
  </si>
  <si>
    <t>74. Pemeliharaan Rutin Halaman Kantor BPN</t>
  </si>
  <si>
    <t>75. Pemeliharaan Rutin Jalan kalijambe - Margapadang dan Setu - Mindaka</t>
  </si>
  <si>
    <t>76. Pemeliharaan Rutin Jalan Komplek Ponpes At-Tauhidiyah Cikura</t>
  </si>
  <si>
    <t>77. Pemelihataan Rutin Jalan Lingkar Lebaksiu Kidul</t>
  </si>
  <si>
    <t>78. Pemeliharaan Rutin Jalan Kalijambe - Bulakwaru</t>
  </si>
  <si>
    <t>1.03.11</t>
  </si>
  <si>
    <t>PROGRAM PENGEMBANGAN JASA KONSTRUKSI</t>
  </si>
  <si>
    <t xml:space="preserve">1.03.11.2.01 </t>
  </si>
  <si>
    <t>Penyelenggaraan Pelatihan Tenaga Terampil Konstruksi</t>
  </si>
  <si>
    <t xml:space="preserve">1.03.11.2.01.0010 </t>
  </si>
  <si>
    <t>Fasilitasi Sertifikasi Tenaga Kerja Konstruksi Kualifikasi Jabatan Operator dan Teknisi atau Analis</t>
  </si>
  <si>
    <t>1. Biaya Uji Sertifikasi Jenjang IV</t>
  </si>
  <si>
    <t>3. Belanja Kursus/Pelatihan Singkat</t>
  </si>
  <si>
    <t xml:space="preserve">1.03.11.2.01.0014 </t>
  </si>
  <si>
    <t>Pemantauan dan Evaluasi Pelatihan Tenaga Kerja Konstruksi Kualifikasi Jabatan Operator dan Teknisi atau Analis</t>
  </si>
  <si>
    <t>1.03.11.2.01.0016</t>
  </si>
  <si>
    <t>Pelatihan Tenaga Kerja Konstruksi Kualifikasi Jabatan Operator, Teknisi atau Anali</t>
  </si>
  <si>
    <t xml:space="preserve">1.03.11.2.02 </t>
  </si>
  <si>
    <t>Penyelenggaraan Sistem Informasi Jasa Konstruksi Cakupan Daerah Kabupaten/Kota</t>
  </si>
  <si>
    <t xml:space="preserve">1.03.11.2.02.0013 </t>
  </si>
  <si>
    <t>Penyediaan Data dan Informasi Jasa Konstruksi Cakupan Kabupaten/Kota</t>
  </si>
  <si>
    <t>1. PENYUSUNAN AHSP TAHAP I JALAN, JEMBATAN DAN SDA</t>
  </si>
  <si>
    <t>2. PENYUSUNAN AHSP TAHAP I BANGUNAN GEDUNG</t>
  </si>
  <si>
    <t>3. PENYUSUSNAN AHSP TAHAP II JALAN, JEMBATAN, DAN SDA</t>
  </si>
  <si>
    <t>4. PENYUSUNAN AHSP TAHAP III JALAN, JEMBATAN, DAN SDA</t>
  </si>
  <si>
    <t>7. PENYUSUNAN AHSP TAHAP III BANGUNAN GEDUNG</t>
  </si>
  <si>
    <t>6. PENYUSUNAN AHSP TAHAP IV JALAN, JEMBATAN, DAN SDA</t>
  </si>
  <si>
    <t>O</t>
  </si>
  <si>
    <t>On Proses</t>
  </si>
  <si>
    <t xml:space="preserve">1.03.11.2.04 </t>
  </si>
  <si>
    <t>Pengawasan Tertib Usaha, Tertib Penyelenggaraan dan Tertib Pemanfaatan Jasa Konstruksi</t>
  </si>
  <si>
    <t xml:space="preserve">1.03.11.2.04.0006 </t>
  </si>
  <si>
    <t>Pembinaan Tertib Usaha, Tertib Penyelenggaraan, dan Tertib Pemanfaatan Produk Jasa Konstruksi</t>
  </si>
  <si>
    <t>1. BELANJA JASA TENAGA NON OUTSOURCING</t>
  </si>
  <si>
    <t xml:space="preserve">1.03.11.2.04.0004 </t>
  </si>
  <si>
    <t>Pengawasan dan Evaluasi Tertib Penyelenggaraan Jasa Konstruksi Kabupaten/Kota</t>
  </si>
  <si>
    <t>1.03.12</t>
  </si>
  <si>
    <t>PROGRAM PENYELENGGARAAN PENATAAN RUANG</t>
  </si>
  <si>
    <t xml:space="preserve">1.03.12.2.01 </t>
  </si>
  <si>
    <t>Penetapan Rencana Tata Ruang Wilayah (RTRW) dan Rencana Rinci Tata Ruang (RRTR) Kabupaten/Kota</t>
  </si>
  <si>
    <t xml:space="preserve">1.03.12.2.01.0005 </t>
  </si>
  <si>
    <t>Pelaksanaan Persetujuan Substansi RTRW Kabupaten/Kota</t>
  </si>
  <si>
    <t>1. Pembuatan Peta Dasar RDTR WP Dukuhwaru</t>
  </si>
  <si>
    <t>2. Pembuatan Peta Dasar RDTR WP Lebaksiu-Balapulang</t>
  </si>
  <si>
    <t>3. Pembuatan Peta Dasar RDTR WP Margasari</t>
  </si>
  <si>
    <t>4. Pembuatan Peta Dasar RDTR WP Mejasem-Warureja</t>
  </si>
  <si>
    <t>5. Pembuatan Peta Dasar RDTR WP Pangkah</t>
  </si>
  <si>
    <t>6. Pendampingan Proses Legalisasi RDTR WP Slawi-Adiwerna</t>
  </si>
  <si>
    <t>7. Pendampingan Proses Legalisasi RDTR WP Talang-Dukuhturi</t>
  </si>
  <si>
    <t>8. Penyusunan Laporan Pendahuluan dan Fakta Analisa RDTR WP Dukuhwaru</t>
  </si>
  <si>
    <t>9. Penyusunan Laporan Pendahuluan dan Fakta Analisa RDTR WP Lebaksiu-Balapulang</t>
  </si>
  <si>
    <t>10. Penyusunan Laporan Pendahuluan dan Fakta Analisa RDTR WP Margasari</t>
  </si>
  <si>
    <t>11. Penyusunan Laporan Pendahuluan dan Fakta Analisa RDTR WP Mejasem-Warureja</t>
  </si>
  <si>
    <t>12. Penyusunan Laporan Pendahuluan dan Fakta Analisa RDTR WP Pangkah</t>
  </si>
  <si>
    <t>13. Biaya Umum</t>
  </si>
  <si>
    <t xml:space="preserve">1.03.12.2.02 </t>
  </si>
  <si>
    <t>Koordinasi dan Sinkronisasi Perencanaan Tata Ruang Daerah Kabupaten/Kota</t>
  </si>
  <si>
    <t xml:space="preserve">1.03.12.2.02.0001 </t>
  </si>
  <si>
    <t>Koordinasi dan Sinkronisasi Penyusunan RTRW Kabupaten/Kota</t>
  </si>
  <si>
    <t xml:space="preserve">1.03.12.2.03 </t>
  </si>
  <si>
    <t>Koordinasi dan Sinkronisasi Pemanfaatan Ruang Daerah Kabupaten/Kota</t>
  </si>
  <si>
    <t xml:space="preserve">1.03.12.2.03.0005 </t>
  </si>
  <si>
    <t>Pelaksanaan Sinkronisasi Program Pemanfaatan Ruang</t>
  </si>
  <si>
    <t xml:space="preserve">1.03.12.2.03.0006 </t>
  </si>
  <si>
    <t>Sistem informasi dan komunikasi penataan ruang</t>
  </si>
  <si>
    <t>1. Penyusunan Sistem Informasi Pemanfaatan Ruang</t>
  </si>
  <si>
    <t xml:space="preserve"> </t>
  </si>
  <si>
    <t>Jenis Pengadaan Barang/Jasa</t>
  </si>
  <si>
    <t>Sisa Anggaran (Rp)</t>
  </si>
  <si>
    <t>Realisasi Keuangan (Rp.)</t>
  </si>
  <si>
    <t>Realisasi Fisik (%)</t>
  </si>
  <si>
    <t>Penyusunan Dokumen Perencanaan Perangkat Daerah (Dinas Pekerjaan Umum dan Penataan Ruang)</t>
  </si>
  <si>
    <t>1. Jasa Konversi Aplikasi/Sistem Informasi</t>
  </si>
  <si>
    <t>Evaluasi Kinerja Perangkat Daerah (Dinas Pekerjaan Umum dan Penataan Ruang)</t>
  </si>
  <si>
    <t>Penyediaan Gaji dan Tunjangan ASN (Dinas Pekerjaan Umum dan Penataan Ruang)</t>
  </si>
  <si>
    <t>Penyediaan Administrasi Pelaksanaan Tugas ASN (Dinas Pekerjaan Umum dan Penataan Ruang)</t>
  </si>
  <si>
    <t>Pelaksanaan Penatausahaan dan Pengujian/Verifikasi Keuangan SKPD (Dinas Pekerjaan Umum dan Penataan Ruang)</t>
  </si>
  <si>
    <t>Penatausahaan Barang Milik Daerah pada SKPD (Dinas Pekerjaan Umum dan Penataan Ruang)</t>
  </si>
  <si>
    <t>Pendataan dan Pengolahan Administrasi Kepegawaian (Dinas Pekerjaan Umum dan Penataan Ruang)</t>
  </si>
  <si>
    <t>Monitoring, Evaluasi, dan Penilaian Kinerja Pegawai (Dinas Pekerjaan Umum dan Penataan Ruang)</t>
  </si>
  <si>
    <t>Pendidikan dan Pelatihan Pegawai Berdasarkan Tugas dan Fungsi (Dinas Pekerjaan Umum dan Penataan Ruang)</t>
  </si>
  <si>
    <t>Penyediaan Bahan Logistik Kantor (Dinas Pekerjaan Umum dan Penataan Ruang)</t>
  </si>
  <si>
    <t xml:space="preserve">2. Belanja Alat/Bahan untuk Kegiatan Kantor-Alat Tulis Kantor </t>
  </si>
  <si>
    <t>3. Belanja Alat/Bahan untuk Kegiatan Kantor- Kertas dan Cover</t>
  </si>
  <si>
    <t>Penyediaan Barang Cetakan dan Penggandaan (Dinas Pekerjaan Umum dan Penataan Ruang)</t>
  </si>
  <si>
    <t>Penyediaan Bahan Bacaan dan Peraturan Perundang-undangan (Dinas Pekerjaan Umum dan Penataan Ruang)</t>
  </si>
  <si>
    <t>1. Jasa Iklan/Reklame Film, dan Pemotretan</t>
  </si>
  <si>
    <t>Pengadaan Peralatan dan Mesin Lainnya (Dinas Pekerjaan Umum dan Penataan Ruang)</t>
  </si>
  <si>
    <t>1. Belanja Modal Kendaraan Dinas Bermotor Perorangan</t>
  </si>
  <si>
    <t>Penyediaan Jasa Komunikasi, Sumber Daya Air dan Listrik (Dinas Pekerjaan Umum dan Penataan Ruang)</t>
  </si>
  <si>
    <t>Penyediaan Jasa Pelayanan Umum Kantor (Dinas Pekerjaan Umum dan Penataan Ruang)</t>
  </si>
  <si>
    <t>2. Belanja Jasa Tenaga Kebersihan</t>
  </si>
  <si>
    <t>3. Belanja Jasa Tenaga Keamanan</t>
  </si>
  <si>
    <t>Penyediaan Jasa Pemeliharaan, Biaya Pemeliharaan, Pajak, dan Perizinan Kendaraan Dinas Operasional atau Lapangan (Dinas Pekerjaan Umum dan Penataan Ruang)</t>
  </si>
  <si>
    <t>Penyediaan Jasa Pemeliharaan, Biaya Pemeliharaan dan Perizinan Alat Besar (Dinas Pekerjaan Umum dan Penataan Ruang)</t>
  </si>
  <si>
    <t>1. Pemeliharaan Alat Bengkel Laboratorium/Pemeliharaan Kalibrasi dan Akreditasi</t>
  </si>
  <si>
    <t>Pemeliharaan Mebel (Dinas Pekerjaan Umum dan Penataan Ruang)</t>
  </si>
  <si>
    <t>Pemeliharaan Peralatan dan Mesin Lainnya (Dinas Pekerjaan Umum dan Penataan Ruang)</t>
  </si>
  <si>
    <t>Pemeliharaan/Rehabilitasi Gedung Kantor dan Bangunan Lainnya (Dinas Pekerjaan Umum dan Penataan Ruang)</t>
  </si>
  <si>
    <t>1. Pemeliharaan Gedung Kantor Bidang PBLTARU DPUPR Kabupaten Tegal</t>
  </si>
  <si>
    <t>2. Pemeliharaan Gedung Kantor UPTD Pemeliharaan Jalan, Irigasi dan Penataan Bangunan Wilayah I</t>
  </si>
  <si>
    <t>3. Pemeliharaan Gedung Kantor UPTD Pemeliharaan Jalan, Irigasi dan Penataan Bangunan Wilayah II</t>
  </si>
  <si>
    <t>4. Pemeliharaan Gedung Kantor UPTD Pemeliharaan Jalan, Irigasi dan Penataan Bangunan Wilayah III</t>
  </si>
  <si>
    <t>5. Pemeliharaan Gedung Kantor UPTD Pemeliharaan Jalan, Irigasi dan Penataan Bangunan Wilayah IV</t>
  </si>
  <si>
    <t>6. Pemeliharaan Gedung Kantor UPTD Pemeliharaan Jalan, Irigasi dan Penataan Bangunan Wilayah V</t>
  </si>
  <si>
    <t>7. Pemeliharaan Gedung Kantor UPTD Pemeliharaan Jalan, Irigasi dan Penataan Bangunan Wilayah VI</t>
  </si>
  <si>
    <t>Pengembangan dan Pengelolaan Sistem Irigasi Primer dan Sekunder pada Daerah Irigasi yang Luasnya dibawah 1000 Ha dalam 1 (satu) Daerah Kabupaten/Kota</t>
  </si>
  <si>
    <t>Penyusunan Rencana Teknis dan Dokumen Lingkungan Hidup untuk Konstruksi Irigasi dan Rawa (Dinas Pekerjaan Umum dan Penataan Ruang)</t>
  </si>
  <si>
    <t>1. Review DED Jaringan Irigasi DI Ragung Kec. Bojong</t>
  </si>
  <si>
    <t>2. Review DED Jaringan Irigasi DI Jingkang Kec. Jatinegara</t>
  </si>
  <si>
    <t>3. Review DED Jaringan Irigasi DI Sarang II Kec. Jatinegara</t>
  </si>
  <si>
    <t>Rehabilitasi Jaringan Irigasi Permukaan (Dinas Pekerjaan Umum dan Penataan Ruang)</t>
  </si>
  <si>
    <t>1. Peningkatan Jaringan Irigasi DI Bawangan Desa Sokasari Kec. Bumijawa</t>
  </si>
  <si>
    <t>2. Rehabilitasi Jaringan Irigasi DI Rajabawah Desa Cenggini Kec. Balapulang</t>
  </si>
  <si>
    <t>3. Rehabilitasi Jaringan Irigasi DI Batu Cs Desa Batuagung Kec. Balapulang</t>
  </si>
  <si>
    <t>4. Rehabilitasi Jaringan Irigasi DI Pondoh Desa Wanasari Kec. Margasari</t>
  </si>
  <si>
    <t>5. Rehabilitasi Jaringan Irigasi DI Salpan Desa Cempaka Kec. Bumijawa</t>
  </si>
  <si>
    <t>6. Rehabilitasi Jaringan Irigasi DI Pesunyan Desa Wotgalih Kec. Jatinegara</t>
  </si>
  <si>
    <t>7. Rehabilitasi Jaringan Irigasi DI Gencong Desa Danareja Kec. Balapulang</t>
  </si>
  <si>
    <t>8. Rehabilitasi Jaringan Irigasi DI Ontong Desa Rembul Kec. Bojong</t>
  </si>
  <si>
    <t>9. Peningkatan Jaringan Irigasi DI Sempat Desa Cikura Kec. Bojong</t>
  </si>
  <si>
    <t>10. Rehabilitasi Jaringan Irigasi DI Curugdendeng Desa Mokaha Kec. Jatinegara</t>
  </si>
  <si>
    <t>11. Rehabilitasi Jaringan Irigasi DI Cilik I Desa Danaraja Kec. Balapulang</t>
  </si>
  <si>
    <t>12. Peningkatan Jaringan Irigasi DI Krajan Desa Penyalahan Kec. Jatinegara</t>
  </si>
  <si>
    <t>13. Rehabilitasi Jaringan Irigasi DI Kembang 3 Desa Sumbarang Kec. Jatinegara</t>
  </si>
  <si>
    <t>14. Rehabilitasi Jaringan Irigasi DI Rambut Hulu Desa Luwijawa Kec. Jatinegara</t>
  </si>
  <si>
    <t>15. Rehabilitasi Jaringan Irigasi DI Jombre Desa Cempaka Kec. Bumijawa</t>
  </si>
  <si>
    <t>16. Biaya Umum</t>
  </si>
  <si>
    <t>Operasi dan Pemeliharaan Jaringan Irigasi Permukaan (Dinas Pekerjaan Umum dan Penataan Ruang)</t>
  </si>
  <si>
    <t>1. Pemeliharaan Jaringan Irigasi UPTD Wilayah III</t>
  </si>
  <si>
    <t>2. a. Pengadaan material Pemeliharaan Jaringan Irigasi DI Demang Desa Argatawang Kec. Jatinegara</t>
  </si>
  <si>
    <t>3. b. Pengadaan material Pemeliharaan Jaringan Irigasi DI Jumbangan Desa Sitail Kec. Jatinegara</t>
  </si>
  <si>
    <t>4. a. Upah Tenaga Pemeliharaan Jaringan Irigasi DI Demang Desa Argatawang Kec Jatinegara</t>
  </si>
  <si>
    <t>5. b. Upah Tenaga Pemeliharaan Jaringan Irigasi DI Jumbangan Desa Sitail Kec Jatinegara</t>
  </si>
  <si>
    <t>6. Pemeliharaan Jaringan Irigasi UPTD Wilayah V</t>
  </si>
  <si>
    <t>7. a. Pengadaan material Pemeliharaan Jaringan Irigasi DI Pagerwangi III Desa Wringinjenggot Kec. Balapulang</t>
  </si>
  <si>
    <t>8. b. Pengadaan material Pemeliharaan Jaringan Irigasi DI Pasir I Desa Harjawinangun Kec. Balapulang</t>
  </si>
  <si>
    <t>9. a. Upah Tenaga Pemeliharaan Jaringan Irigasi DI Pagerwangi III Desa Wringinjenggot Kec Balapulang</t>
  </si>
  <si>
    <t>10. b. Upah Tenaga Pemeliharaan Jaringan Irigasi DI Pasir I Desa Harjawinangun Kec Balapulang</t>
  </si>
  <si>
    <t>11. Pemeliharaan Jaringan Irigasi UPTD Wilayah VI</t>
  </si>
  <si>
    <t>12. a. Pengadaan material Pemel;liharaan Jaringan Irigasi DI Kemaron Desa Tuwel Kec. Bojong</t>
  </si>
  <si>
    <t>13. b. Pengadaan material Pemeliharaan Saluran Sekunder Karangjambu Desa Karangjambu Kec. Bojong</t>
  </si>
  <si>
    <t>14. c. Pengadaan material Pemeliharaan Saluran Sekunder Kedawung Desa Buniwah Kec. Bojong</t>
  </si>
  <si>
    <t>15. d. Pengadaan material Pemeliharaan Jaringan DI Biyombong Desa Sumbaga Kec. Bumijawa</t>
  </si>
  <si>
    <t>16. e. Pengadaan material Pemeliharaan Jaringan Irigasi DI Diyang I Desa Jejeg Kec. Bumijawa</t>
  </si>
  <si>
    <t>17. A. Upah Tenaga Pemeliharaan Jaringan Irigasi DI kemaron Desa Tuwel Kec Bojong</t>
  </si>
  <si>
    <t>18. B. Upah Tenaga Pemeliharaan Saluran Sekunder Karangjambu Desa Karangjambu Kec Bojong</t>
  </si>
  <si>
    <t>19. C. Upah Tenaga Pemeliharaan Saluran Sekunder Kedawung Desa Buniwah Kec Bojong</t>
  </si>
  <si>
    <t>20. D. Upah Tenaga Pemeliharaan Jaringan Irigasi DI Biyombong Desa Sumbaga Kec Bumijawa</t>
  </si>
  <si>
    <t>21. E. Upah Tenaga Pemeliharaan Jaringan Irigasi DI Diyang I Desa Jejeg Kec Bumijawa</t>
  </si>
  <si>
    <t>22. Pengadaan Bahan Pengecatan dan Pelumasan Fasilitas OP Irigasi</t>
  </si>
  <si>
    <t>23. Pengadaan Bahan Banjiran dan Perlengkapan Kerja Lapangan</t>
  </si>
  <si>
    <t>24. Pemeliharaan Mesin Potong Rumput</t>
  </si>
  <si>
    <t>25. Perbaikan Fasilitas Penunjang OP Jaringan Irigasi</t>
  </si>
  <si>
    <t>26. Pemeliharaan Jaringan Irigasi : Pengadaan Perlengkapan Penunjang Survey Lapangan</t>
  </si>
  <si>
    <t>27. Pemeliharaan Jaringan Irigasi : Pengadaan Pipa</t>
  </si>
  <si>
    <t>28. Honor THL Bid. SDA</t>
  </si>
  <si>
    <t>29. Biaya Umum</t>
  </si>
  <si>
    <t>Pengelolaan dan Pengawasan Alokasi Air Irigasi (Dinas Pekerjaan Umum dan Penataan Ruang)</t>
  </si>
  <si>
    <t>1. Pengelolaan dan Pengawasan Alokasi Air Irigasi</t>
  </si>
  <si>
    <t>2. Monitoring dan Evaluasi Alokasi Air</t>
  </si>
  <si>
    <t>3. Penyusunan RTT &amp; Pola Tanam</t>
  </si>
  <si>
    <t>4. Fasilitasi Komisi Irigasi Kabupaten</t>
  </si>
  <si>
    <t>Penyusunan Rencana, Kebijakan, Strategi dan Teknis SPAM (Dinas Pekerjaan Umum dan Penataan Ruang)</t>
  </si>
  <si>
    <t>1. Review DED Peningkatan SPAM Jaringan Perpipaan Desa Pucangluwuk Kecamatan Bojong</t>
  </si>
  <si>
    <t>2. Jasa Konsultan Pengawasan Peningkatan SPAM Jaringan Perpipaan Desa Pucangluwuk Kecamatan Bojong</t>
  </si>
  <si>
    <t>3. Review DED Peningkatan SPAM Jaringan Perpipaan Desa Tuwel Kecamatan Bojong</t>
  </si>
  <si>
    <t>4. Jasa Konsultan Pengawasan Peningkatan SPAM Jaringan Perpipaan Desa Tuwel Kecamatan Bojong</t>
  </si>
  <si>
    <t>5. DED Perencanaan Air Minum 2024</t>
  </si>
  <si>
    <t>6. Belanja Jasa Tenaga Administrasi</t>
  </si>
  <si>
    <t>8. Jasa Konsultan Perencanaan Perluasan SPAM Desa Setu Kec. Tarub dan Desa Balaradin Kec. Lebaksiu</t>
  </si>
  <si>
    <t>Pembangunan SPAM Jaringan Perpipaan di Kawasan Perdesaan (Dinas Pekerjaan Umum dan Penataan Ruang)</t>
  </si>
  <si>
    <t>1. Peningkatan SPAM Jaringan Perpipaan Desa Pucangluwuk Kecamatan Bojong (DAK)</t>
  </si>
  <si>
    <t>2. Peningkatan SPAM Jaringan Perpipaan Desa Tuwel Kecamatan Bojong (DAK)</t>
  </si>
  <si>
    <t xml:space="preserve">4. Jasa Konsultan Perencanaan Perluasan SPAM Desa
Dukuhdamu Kec. Lebaksiu dan Desa Karangjambu Kec. Balapulang
</t>
  </si>
  <si>
    <t>Penyusunan Rencana, Kebijakan, Strategi, dan Teknis Sistem Pengelolaan Persampahan TPA/TPST/SPA/TPS-3R/TPS Kewenangan Kabupaten/Kota (Dinas Pekerjaan Umum dan Penataan Ruang)</t>
  </si>
  <si>
    <t>Peningkatan TPA/TPST/SPA/TPS-3R/TPS (Dinas Pekerjaan Umum dan Penataan Ruang)</t>
  </si>
  <si>
    <t>1. Review Design Pembangunan TPST Jalingkos (Kagok)</t>
  </si>
  <si>
    <t>2. Jasa Konsultan Pengawasan Pembangunan TPST Jalingkos (Kagok)</t>
  </si>
  <si>
    <t>3. Pembangunan TPST Jalingkos (Kagok)</t>
  </si>
  <si>
    <t>4. Jasa Konsultan DED Pembangunan TPST Penujah</t>
  </si>
  <si>
    <t>5. Jasa Konsultan Pengawasan Pembangunan TPST Penujah</t>
  </si>
  <si>
    <t>6. Pembangunan TPST Penujah</t>
  </si>
  <si>
    <t>7. Konsultan DED Peningkatan TPST Dampyak</t>
  </si>
  <si>
    <t>8. Jasa Konsultan Pengawasan Peningkatan TPST Dampyak</t>
  </si>
  <si>
    <t>9. Peningkatan TPST Dampyak</t>
  </si>
  <si>
    <t>10. Pembangunan TPS3R Desa Balapulang Wetan Kec. Balapulang</t>
  </si>
  <si>
    <t>11. Pembangunan TPS3R Desa Karangmangu Kec. Tarub</t>
  </si>
  <si>
    <t>12. Pembangunan TPS3R Desa Pekiringan Kec. Talang</t>
  </si>
  <si>
    <t>13. Pembangunan TPS3R Desa Penarukan Kec. Adiwerna</t>
  </si>
  <si>
    <t>14. Pembangunan TPS3R Desa Rembul Kec. Bojong</t>
  </si>
  <si>
    <t>15. Pembangunan TPS3R Desa Sidakaton Kec. Dukuhturi</t>
  </si>
  <si>
    <t>16. Belt Conveyer Pemilah Sampah, Mesin Conveyer Feeder, dan Mesin Pemilah Sampah Otomatis Gibrik</t>
  </si>
  <si>
    <t>17. IPI AWS Pyrolisis AWS 50 1m3/jam</t>
  </si>
  <si>
    <t>Penyusunan Rencana, Kebijakan, Strategi, dan Teknis Sistem Pengelolaan Air Limbah Domestik dalam Daerah Kabupaten/Kota (Dinas Pekerjaan Umum dan Penataan Ruang)</t>
  </si>
  <si>
    <t>Pembangunan/Penyediaan Sub Sistem Pengolahan Setempat (Dinas Pekeerjaan Umum dan Penataan Ruang)</t>
  </si>
  <si>
    <t>1. Jasa Konsultan Pengawasan Pembangunan/Peningkatan/Rehabilitasi IPLT</t>
  </si>
  <si>
    <t>2. Pembangunan/Peningkatan/Rehabilitasi IPLT</t>
  </si>
  <si>
    <t>3. Pembangunan Tangki Septik Skala Individual Perdesaan Minimal 50 KK Desa Balamoa Kec. Pangkah</t>
  </si>
  <si>
    <t>4. Pembangunan Tangki Septik Skala Individual Perdesaan Minimal 50 KK Desa Jatimulya Kec. Suradadi</t>
  </si>
  <si>
    <t>5. Pembangunan Tangki Septik Skala Individual Perdesaan Minimal 50 KK Desa Pepedan Kec. Dukuhturi</t>
  </si>
  <si>
    <t>6. Pembangunan Tangki Septik Skala Individual Perdesaan Minimal 50 KK Desa Sukareja Kec. Warureja</t>
  </si>
  <si>
    <t>7. Penambahan Pipa Pengumpul dan SR untuk Kabupaten/Kota yang telah memiliki SPALD-T Skala Perkotaan/Permukiman Desa Kesuben Kec. Lebaksiu</t>
  </si>
  <si>
    <t>Pembangunan Sistem Drainase Perkotaan (Dinas Pekerjaan Umum dan Penataan Ruang)</t>
  </si>
  <si>
    <t>1. Draenase ruas jalan lodadi - karangmalang</t>
  </si>
  <si>
    <t>2. Drainase lanjutan (depan balai desa kertayasa)</t>
  </si>
  <si>
    <t>3. Drainase Ruas Jalan Babadan - Warureja</t>
  </si>
  <si>
    <t>4. Pembangunan Drainase Jalan Mejasem Barat Kec. Kramat</t>
  </si>
  <si>
    <t>5. Pembangunan drainase Jatimulya - Harjasari (dk. Wanasari)</t>
  </si>
  <si>
    <t>6. Pembangunan drainase ruas Harjasari - Dukuh Randu di harjasari sebelah selatan jalan tol</t>
  </si>
  <si>
    <t>7. Pembangunan Drainase Ruas Jalan Karangmulya - Lodadi</t>
  </si>
  <si>
    <t>8. Pembangunan Drainase ruas jalan Kertayasa - Kertaharja</t>
  </si>
  <si>
    <t>9. Pembangunan Drainase Ruas Jalan Sidaharja - Jatibogor</t>
  </si>
  <si>
    <t>10. Pembangunan Drainase Ruas Kendayakan - Kreman</t>
  </si>
  <si>
    <t>11. Draenase Pengarasan - Pecangakan</t>
  </si>
  <si>
    <t>12. Drainase Ruas jalan Harjosari kidul - Harjosari Lor</t>
  </si>
  <si>
    <t>13. Pembangunan draenase pasangan – langgen kec. Talang</t>
  </si>
  <si>
    <t>14. Pembangunan draenase tembok banjaran – ujungrusi kec. Adiwerna</t>
  </si>
  <si>
    <t>15. Pembangunan Drainase Jalan Brekat Kec. Tarub</t>
  </si>
  <si>
    <t>16. Pembangunan Drainase Jalan Harjosari Lor Kec. Adiwerna</t>
  </si>
  <si>
    <t>17. Pembangunan Drainase Jalan Mangunsaren Kec. Tarub</t>
  </si>
  <si>
    <t>18. Pembangunan Drainase Jalan Pekiringan Kec. Talang</t>
  </si>
  <si>
    <t>19. Pembangunan Drainase Jalan Tegalwangi</t>
  </si>
  <si>
    <t>20. Pembangunan drainase ruas Grogol - Debong Wetan</t>
  </si>
  <si>
    <t>21. Pembangunan Drainase Ruas Jalan Gumalar - Kupu</t>
  </si>
  <si>
    <t>22. Pembangunan Drainase Ruas Jalan Jatirawa - Purbasana</t>
  </si>
  <si>
    <t>23. Pembangunan Drainase ruas jalan MangunsarenKesadikan</t>
  </si>
  <si>
    <t>24. Pembangunan Drainase Ruas Jalan Pekauman Kulon - Debong Wetan</t>
  </si>
  <si>
    <t>25. Pembangunan Drainase Ruas Jalan Setu - Cangkring</t>
  </si>
  <si>
    <t>26. Pembangunan Drainase Ruas Jalan Talang - Tarub</t>
  </si>
  <si>
    <t>27. Pembangunan Drainase Ruas Jalan Kaladawa - Mejasem</t>
  </si>
  <si>
    <t>28. Perbaikan Drainase Ruas SMK Adiwerna - Pasar Bawang</t>
  </si>
  <si>
    <t>29. Pembangunan drainase ruas jalan TarubKedokansayang)</t>
  </si>
  <si>
    <t>30. Pembangunan Drainase Ruas Kedungsukun - Pedeslohor</t>
  </si>
  <si>
    <t>31. Pembangunan drainase ruas Pedeslohor - Kalipucang</t>
  </si>
  <si>
    <t>32. Pembangunan Drainase Ruas Tembok Luwung- Grobog Kulon</t>
  </si>
  <si>
    <t>33. Pembangunan drainase U-Ditch ruas Pagongan - Jalan Dua Slawi</t>
  </si>
  <si>
    <t>34. Pembangunan drainase U-Ditch ruas Sutapranan - Kaligayam di sutapranan</t>
  </si>
  <si>
    <t>35. Pembangunan drainase U-Ditch Ruas Tembok kidul - Tembok kidul</t>
  </si>
  <si>
    <t>36. Pembuatan draenase ruas jalan kepandean - bandung</t>
  </si>
  <si>
    <t>37. Pembuatan saluran U- Ditch Ruas Kaliwadas - Pagedangan</t>
  </si>
  <si>
    <t>38. Pembuatan saluran U- Ditch Ruas Tembok Luwung - Tembok Luwung (Jalan Pangawinan)</t>
  </si>
  <si>
    <t>39. Pembangunan Drainase Jalan Grobog Kulon Kec. Pangkah</t>
  </si>
  <si>
    <t>40. Pembangunan Drainase Jalan Penujah Kec. Kedungbanteng</t>
  </si>
  <si>
    <t>41. Pembangunan Drainase Ruas Jalan Kalikangkung - Purbayasa</t>
  </si>
  <si>
    <t>42. Drainase Depan Puskesmas Pembantu Slawi Kulon</t>
  </si>
  <si>
    <t>43. Drainase Jl. Dr Cipto, RT 03/02, Dukuhsalam</t>
  </si>
  <si>
    <t>44. drainase lebaksiu kidul - lebakasiu kidul</t>
  </si>
  <si>
    <t>45. Drainase Ruas Jalan Bulakpacing – Blubuk</t>
  </si>
  <si>
    <t>46. Drainase ruas jalan kalisoka-gemayun</t>
  </si>
  <si>
    <t>47. Drainase ruas Jalan Pedagangan – Trayeman</t>
  </si>
  <si>
    <t>48. Pembangunan Drainase Jalan Anoa</t>
  </si>
  <si>
    <t>49. Pembangunan Drainase Jalan Mawar</t>
  </si>
  <si>
    <t>50. Pembangunan Drainase Jalan Musi</t>
  </si>
  <si>
    <t>51. Pembangunan Drainase Jalan Tegalandong Kec. Lebaksiu</t>
  </si>
  <si>
    <t>52. Pembangunan Drainase Ruas Jalan Kabunan - Kedawung</t>
  </si>
  <si>
    <t>53. Pembangunan drainase jl. Mahakam</t>
  </si>
  <si>
    <t>54. Pembangunan Drainase Ruas Jalan Cendrawasih</t>
  </si>
  <si>
    <t>55. Peningkatan Drainase Ruas Jalan Jeruk, kelurahan Procot</t>
  </si>
  <si>
    <t>56. Peningkatan Saluran Drainase Jl. Teri 1 Desa Kalisapu</t>
  </si>
  <si>
    <t>57. Peningkatan Saluran Drainase Jl. Wader Desa Kalisapu, Kecamatan Slawi, Kabupaten tegal</t>
  </si>
  <si>
    <t>58. Perbaikan saluran ruas jalan Jalan Merbabu</t>
  </si>
  <si>
    <t>59. saluran pendil ruas jalan slaranglor - blubuk</t>
  </si>
  <si>
    <t>60. Drainase Jalan Pagerbarang - Randusari</t>
  </si>
  <si>
    <t>61. Lanjutan drainase Kali Sirah Desa Margasari</t>
  </si>
  <si>
    <t>62. Normalisasi Saluran Air Ruas Jalan Pagerbarang - Pagerbarang</t>
  </si>
  <si>
    <t>63. Pembangunan Drainase Jalan Danaraja Kec. Margasari</t>
  </si>
  <si>
    <t>64. Pembangunan Drainase Jalan Jembayat Kec. Margasari</t>
  </si>
  <si>
    <t>65. Pembangunan Drainase Jalan Kaligayam Kec. Margasari</t>
  </si>
  <si>
    <t>66. Pembangunan Drainase Jalan Marga Ayu Kec. Margasari</t>
  </si>
  <si>
    <t>67. Pembangunan Drainase Jalan Rajegwesi Kec. Pagerbarang</t>
  </si>
  <si>
    <t>68. Pembangunan Drainase Ruas Jalan Jatirokeh – Kertaharja</t>
  </si>
  <si>
    <t>69. Perbaikan Drainase Ruas Jalan Karangdawa Cibunar</t>
  </si>
  <si>
    <t>70. Drainase Ruas jalan muncanglarang - bumijawa</t>
  </si>
  <si>
    <t>71. Drainase Ruas jalan cawitali - pagerkasih</t>
  </si>
  <si>
    <t>72. Pembangunan Drainase Jalan Bumijawa Kec. Bumijawa</t>
  </si>
  <si>
    <t>73. Pembangunan Drainase Jalan Lengkong Kec. Bumijawa</t>
  </si>
  <si>
    <t>74. Pembangunan Drainase Jalan Cikura Kec. Bojong</t>
  </si>
  <si>
    <t>75. Pembangunan Drainase Jalan Danasari Kec. Bojong</t>
  </si>
  <si>
    <t>76. Konsultan Perencana Pembangunan Drainase Jalan Danasari Kec. Bojong</t>
  </si>
  <si>
    <t>77. Konsultan Pengawas Pembangunan Drainase Jalan Danasari Kec. Bojong</t>
  </si>
  <si>
    <t>78. Pembangunan Drainase Jalan Muncalarang Kec. Bumijawa</t>
  </si>
  <si>
    <t>79. Pembangunan Drainase Jalan Sumbaga Kec. Bumijawa</t>
  </si>
  <si>
    <t>80. Pembangunan Drainase Ruas Jalan Bumijawa - Traju</t>
  </si>
  <si>
    <t>81. Pembangunan Drainase Ruas Jalan Gunungagung - Cempaka</t>
  </si>
  <si>
    <t>82. Draenase Diwung - Cikura</t>
  </si>
  <si>
    <t>83. BOP</t>
  </si>
  <si>
    <t>84. PEMBANGUNAN DRAINASE JALAN RUAS BALAMOA - KEMANTRAN (DEPAN PABRIK GARMEN)</t>
  </si>
  <si>
    <t>85. DRAINASE RUAS JALAN GEMBONGKULON - PASANGAN (DI RT 4 RW 2)</t>
  </si>
  <si>
    <t>86. SALURAN U-DICT NAMA RUAS TEMBOK KIDUL- TEMBOK KIDUL &amp; RUAS TEMBOK BANJARAN -UJUNGRUSI( TEMBOK LOR)</t>
  </si>
  <si>
    <t>87. LANJUTAN DRAINASE JALAN MAWAR KEL. PAKEMBARAN KEC. SLAWI</t>
  </si>
  <si>
    <t>88. PEMBANGUNAN DRAINASE RUAS JALAN BUMIJAWA - SUMBAGA</t>
  </si>
  <si>
    <t>89. Drainase Ruas Jalan maribaya - plumbungan di Desa Maribaya Rw 1 dan 2</t>
  </si>
  <si>
    <t>90. Drainase ruas jalan kertayasa - kramat</t>
  </si>
  <si>
    <t>91. Pembangunan Drainase Ruas Jalan Sidaharja - Jatibogor (Lanjutan)</t>
  </si>
  <si>
    <t>92. Pembangunan Drainase Ruas Jalan Peleman - Sidaharja</t>
  </si>
  <si>
    <t>Penyelenggaraan Penerbitan Izin Mendirikan Bangunan (IMB), Sertifikat Laik Fungsi (SLF), Peran Tenaga Ahli Bangunan Gedung (TABG), Pendataan Bangunan Gedung, serta Implementasi SIMBG (Dinas Pekerjaan Umum dan Penataan Ruang)</t>
  </si>
  <si>
    <t>Perencanaan, Pembangunan, Pengawasan, dan Pemanfaatan Bangunan Gedung Daerah Kabupaten/Kota (Dinas Pekerjaan Umum dan Penataan Ruang)</t>
  </si>
  <si>
    <t>1. Jasa Konsultan Perencana Pembangunan Gedung Kantor Kecamatan Kramat</t>
  </si>
  <si>
    <t>2. Jasa Konsultan Pengawasan Pembangunan Gedung Kantor Kecamatan Kramat</t>
  </si>
  <si>
    <t>3. Pembangunan Gedung Kantor Kecamatan Kramat</t>
  </si>
  <si>
    <t>4. Jasa Konsultan Perencana Pembangunan Gedung UPTD Uji Kompetensi BKPSDM</t>
  </si>
  <si>
    <t>5. Jasa Konsultan Pengawasan Pembangunan Gedung UPTD Uji Kompetensi BKPSDM</t>
  </si>
  <si>
    <t>6. Pembangunan Gedung UPTD Uji Kompetensi BKPSDM</t>
  </si>
  <si>
    <t>7. Jasa Konsultan Perencana Pembangunan Gudang Logistik dan Peralatan</t>
  </si>
  <si>
    <t>8. Jasa Konsultan Pengawasan Pembangunan Gudang Logistik dan Peralatan</t>
  </si>
  <si>
    <t>9. Pembangunan Gudang Logistik dan Peralatan</t>
  </si>
  <si>
    <t>10. Jasa Konsultan Perencana Penataan Kawasan GOR Trisanja</t>
  </si>
  <si>
    <t>11. Jasa Konsultan Pengawasan Penataan Kawasan GOR Trisanja</t>
  </si>
  <si>
    <t>12. Penataan Kawasan GOR Trisanja</t>
  </si>
  <si>
    <t>13. Jasa Konsultan Perencana Penataan Lapangan Stadion Sepakbola Gor Trisanja</t>
  </si>
  <si>
    <t>14. Jasa Konsultan Pengawasan Penataan Lapangan Stadion Sepakbola Gor Trisanja</t>
  </si>
  <si>
    <t>15. Penataan Lapangan Stadion Sepakbola Gor Trisanja</t>
  </si>
  <si>
    <t>16.  Biaya Umum</t>
  </si>
  <si>
    <t>17.Jasa Konsultan Perencana Rehabilitasi Sedang Gedung Kantor Brigade Infanteri 4/Dewa Ratna</t>
  </si>
  <si>
    <t xml:space="preserve">18. Jasa Konsultan Perencana Pembangunan Gapura Monumen Kalibakung - Pangkalan TNI AL Tegal </t>
  </si>
  <si>
    <t>19. Jasa Konsultan Perencana Lanjutan Pembangunan Gedung Serba Guna Satradar</t>
  </si>
  <si>
    <t>20. Jasa Konsultan Perencana Rehabilitasi Sedang Gedung Kantor Kejaksaan Negeri Kabupaten Tegal</t>
  </si>
  <si>
    <t>21. Jasa Konsultan Perencana Penataan Interior Gedung Kantor Dinas PUPR Kabupaten Tegal</t>
  </si>
  <si>
    <t>22. Jasa Konsultan Perencana Rehabilitasi Sedang Gedung Kantor Dinas PUPR Kabupaten Tegal</t>
  </si>
  <si>
    <t xml:space="preserve">23. Jasa Konsultan Perencanaan Penyempurnaan Penataan GOR
Trisanja </t>
  </si>
  <si>
    <t xml:space="preserve">24.Jasa Konsultan Pengawasan Rehabilitasi Sedang Gedung Kantor Brigade Infanteri 4/Dewa Ratna </t>
  </si>
  <si>
    <t xml:space="preserve">25.  Jasa Konsultan Pengawasan Lanjutan Pembangunan Gedung Serba Guna Satradar  </t>
  </si>
  <si>
    <t>26. Jasa Konsultan Pengawasan Pembangunan Gapura Monumen Kalibakung - Pangkalan TNI AL Tegal</t>
  </si>
  <si>
    <t xml:space="preserve">27.Jasa Konsultan Pengawasan Rehabilitasi Sedang Gedung Kantor Kejaksaan Negeri Kabupaten Tegal </t>
  </si>
  <si>
    <t>28.  Jasa Konsultan Pengawasan Penataan Interior Gedung Kantor Dinas PUPR Kabupaten Tegal</t>
  </si>
  <si>
    <t xml:space="preserve">29.Jasa Konsultan Pengawasan Rehabilitasi Sedang Gedung Kantor Dinas PUPR Kabupaten Tegal </t>
  </si>
  <si>
    <t xml:space="preserve">30.Jasa Konsultan Pengawasan Penyempurnaan Penataan GOR Trisanja </t>
  </si>
  <si>
    <t xml:space="preserve">31. Rehabilitasi Sedang
Gedung Kantor Brigade Infanteri 4/Dewa Ratna </t>
  </si>
  <si>
    <t xml:space="preserve">32.Pembangunan Gapura Monumen
Kalibakung - Pangkalan TNI AL Tegal </t>
  </si>
  <si>
    <t>33. Lanjutan Pembangunan Gedung Serba Guna Satradar</t>
  </si>
  <si>
    <t xml:space="preserve">34. Penataan Interior Gedung Kantor Dinas PUPR </t>
  </si>
  <si>
    <t xml:space="preserve">35.Rehabilitasi Sedang Gedung Kantor Dinas PUPR
Kabupaten Tegal </t>
  </si>
  <si>
    <t>36. Penyempurnaan Penataan GOR Trisanja</t>
  </si>
  <si>
    <t>37. Rehabilitasi Sedang Gedung Kantor Kejaksaan Negeri Kabupaten Tegal</t>
  </si>
  <si>
    <t>38. Jasa Konsultan Perencana DED Gedung Gudang Aset BPKAD</t>
  </si>
  <si>
    <t>39.Jasa Konsultan Perencana Review DED Pembangunan Kantor Polsek Pangkah</t>
  </si>
  <si>
    <t>40.Jasa Konsultan Pembuatan Aplikasi Pendukung SIMBG</t>
  </si>
  <si>
    <t>Penyusunan Regulasi Terkait Bangunan Gedung Kabupaten/Kota (Dinas Pekerjaan Umum dan Penataan Ruang)</t>
  </si>
  <si>
    <t>Bantuan Teknis Pembangunan Bangunan Gedung Negara Daerah Kabupaten/Kota (Dinas Pekerjaan Umum dan Penataan Ruang)</t>
  </si>
  <si>
    <t>Penilikan Terhadap Penyelenggaraan Bangunan Gedung oleh Penilik Bangunan (Dinas Pekerjaan Umum dan Penataan Ruang)</t>
  </si>
  <si>
    <t>Penataan Bangunan dan Lingkungan (Dinas Pekerjaan Umum dan Penataan Ruang)</t>
  </si>
  <si>
    <t>1. Jasa Konsultan Perencana Penataan Koridor I Jalan Gajah Mada</t>
  </si>
  <si>
    <t>2. Jasa Konsultan Pengawasan Penataan Koridor I Jalan Gajah Mada</t>
  </si>
  <si>
    <t>3. Penataan Koridor I Jalan Gajah Mada</t>
  </si>
  <si>
    <t>4. Jasa Konsultan Perencana Penataan Trasa</t>
  </si>
  <si>
    <t>5. Jasa Konsultan Pengawasan Penataan Trasa</t>
  </si>
  <si>
    <t>6. Penataan Trasa</t>
  </si>
  <si>
    <t>7. Jasa Konsultan Perencana Tugu Batas Prupuk Selatan</t>
  </si>
  <si>
    <t>8. Jasa Konsultan Perencana Tugu Batas Selapura</t>
  </si>
  <si>
    <t>9. Jasa Konsultan Perencana Rehab Sedang / Berat Kantor Kejaksaan Slawi</t>
  </si>
  <si>
    <t>10. Jasa Konsultan Pengawasan Rehab Sedang / Berat Kantor Kejaksaan Slawi</t>
  </si>
  <si>
    <t>11. Rehab Sedang / Berat Kantor Kejaksaan Slawi</t>
  </si>
  <si>
    <t>12. Biaya Umum</t>
  </si>
  <si>
    <t>13. Jasa Konsultan Perencana Penataan Jl. DR. Sutomo-Wahid Hasyim Pendukung Skybridge</t>
  </si>
  <si>
    <t>14. Jasa Konsultan Perencana Penataan Koridor I Lanjutan</t>
  </si>
  <si>
    <t>15. Jasa Konsultan Perencana Penataan Trasa Lanjutan</t>
  </si>
  <si>
    <t xml:space="preserve"> Penyusunan Rencana, Kebijakan, dan Strategi Pengembangan Jaringan Jalan serta Perencanaan Teknis Penyelenggaraan Jalan dan Jembatan (Dinas Pekerjaan Umum dan Penataan Ruang)</t>
  </si>
  <si>
    <t>1. Jasa Konsultan Perencanaan DED JALAN BANJARANYAR - BATUAGUNG</t>
  </si>
  <si>
    <t>2. Jasa Konsultan Perencanaan DED JALAN SEMBOJA - RANDUSARI</t>
  </si>
  <si>
    <t>3. Jasa Konsultan Perencanaan REVIU DED JALAN BOJONG - TUWEL</t>
  </si>
  <si>
    <t>4. Jasa Konsultan Perencanaan REVIU DED JALAN KALIBAKUNG - SENGGANG</t>
  </si>
  <si>
    <t>5. Jasa Konsultan Perencanaan REVIU DED JALAN KARANGJAMBU - BOJONG</t>
  </si>
  <si>
    <t>6. Jasa Konsultan Perencanaan REVIU DED JALAN SENGGANG - KARANGJAMBU</t>
  </si>
  <si>
    <t>7. Jasa Konsultan Perencanaan REVIU DED JALAN TUWEL - GUCI</t>
  </si>
  <si>
    <t>Pembangunan Jalan (Dinas Pekerjaan Umum dan Penataan Ruang)</t>
  </si>
  <si>
    <t>1. Peningkatan Jalan Sigentong - Kreman</t>
  </si>
  <si>
    <t>2. Peningkatan Ruas Jalan Kendayakan</t>
  </si>
  <si>
    <t>3. Peningkatan Ruas Jalan Warurejo - Kedungjati</t>
  </si>
  <si>
    <t>4. Peningkatan Ruas Jalan Purwahamba - Blubuk</t>
  </si>
  <si>
    <t>5. Betonisasi Jl. Kabupaten Ruas Ds. Banjaragung Desa Banjaragung</t>
  </si>
  <si>
    <t>6. Pembangunan Rabat beton Ruas Rangimulya Kesemen di Rangimulya</t>
  </si>
  <si>
    <t>7. Pembangunan Rigit beton ruas Banjarturi - Rangimulya (di Rangimulya)</t>
  </si>
  <si>
    <t>8. Peningkatan Rigit Beton Ruas Jalan Jatibogor - Karangmulya</t>
  </si>
  <si>
    <t>9. Peningkatan Rigit Beton Ruas Jalan Karangmulya - Lodadi</t>
  </si>
  <si>
    <r>
      <t xml:space="preserve">10. </t>
    </r>
    <r>
      <rPr>
        <sz val="9"/>
        <rFont val="Calibri"/>
        <family val="2"/>
      </rPr>
      <t>Peningkatan Rigit Beton Ruas Jalan Peleman - Sidaharja</t>
    </r>
  </si>
  <si>
    <r>
      <t xml:space="preserve">11. </t>
    </r>
    <r>
      <rPr>
        <sz val="9"/>
        <rFont val="Calibri"/>
        <family val="2"/>
      </rPr>
      <t>Peningkatan Rigit Beton Ruas Jalan Sidaharja - Jatibogor</t>
    </r>
  </si>
  <si>
    <r>
      <t xml:space="preserve">12. </t>
    </r>
    <r>
      <rPr>
        <sz val="9"/>
        <rFont val="Calibri"/>
        <family val="2"/>
      </rPr>
      <t>Rabat Beton ruas jalan Maribaya - Kramat</t>
    </r>
  </si>
  <si>
    <r>
      <t xml:space="preserve">13. </t>
    </r>
    <r>
      <rPr>
        <sz val="9"/>
        <rFont val="Calibri"/>
        <family val="2"/>
      </rPr>
      <t>Rigid Beton Ruas Jalan Kebandingan - Dukuh Bandung</t>
    </r>
  </si>
  <si>
    <r>
      <t xml:space="preserve">14. </t>
    </r>
    <r>
      <rPr>
        <sz val="9"/>
        <rFont val="Calibri"/>
        <family val="2"/>
      </rPr>
      <t>Rigit Beton Ruas Jalan Kemuning – Plumbungan (Lanjutan)</t>
    </r>
  </si>
  <si>
    <r>
      <t xml:space="preserve">15. </t>
    </r>
    <r>
      <rPr>
        <sz val="9"/>
        <rFont val="Calibri"/>
        <family val="2"/>
      </rPr>
      <t>Rigit beton ruas jalan Kepunduhan - Ketileng</t>
    </r>
  </si>
  <si>
    <r>
      <t xml:space="preserve">16. </t>
    </r>
    <r>
      <rPr>
        <sz val="9"/>
        <rFont val="Calibri"/>
        <family val="2"/>
      </rPr>
      <t>Rigit Beton ruas jalan larangan - objek wisata pantai larangan</t>
    </r>
  </si>
  <si>
    <r>
      <t xml:space="preserve">17. </t>
    </r>
    <r>
      <rPr>
        <sz val="9"/>
        <rFont val="Calibri"/>
        <family val="2"/>
      </rPr>
      <t>Rigit beton ruas jalan Maribaya - Kepel</t>
    </r>
  </si>
  <si>
    <r>
      <t xml:space="preserve">18. </t>
    </r>
    <r>
      <rPr>
        <sz val="9"/>
        <rFont val="Calibri"/>
        <family val="2"/>
      </rPr>
      <t>Rigit Beton Ruas Jalan Plumbungan - Kramat</t>
    </r>
  </si>
  <si>
    <r>
      <t xml:space="preserve">19. </t>
    </r>
    <r>
      <rPr>
        <sz val="9"/>
        <rFont val="Calibri"/>
        <family val="2"/>
      </rPr>
      <t>Rigit Beton ruas jalan Sidamulya - Semedo</t>
    </r>
  </si>
  <si>
    <r>
      <t xml:space="preserve">20. </t>
    </r>
    <r>
      <rPr>
        <sz val="9"/>
        <rFont val="Calibri"/>
        <family val="2"/>
      </rPr>
      <t>Rigit beton ruas jalan Sigentong - Sidamulya</t>
    </r>
  </si>
  <si>
    <r>
      <t xml:space="preserve">21. </t>
    </r>
    <r>
      <rPr>
        <sz val="9"/>
        <rFont val="Calibri"/>
        <family val="2"/>
      </rPr>
      <t>Rigit beton ruas jalan Sigentong - Wanagopa</t>
    </r>
  </si>
  <si>
    <r>
      <t xml:space="preserve">22. </t>
    </r>
    <r>
      <rPr>
        <sz val="9"/>
        <rFont val="Calibri"/>
        <family val="2"/>
      </rPr>
      <t>Rigit beton ruas jalan Warureja - Rangimulya</t>
    </r>
  </si>
  <si>
    <t>23. Rigit Beton Wanangopa - Kreman</t>
  </si>
  <si>
    <t>24. Rigit Beton Jalan Sukareja - Kreman</t>
  </si>
  <si>
    <r>
      <t>25.</t>
    </r>
    <r>
      <rPr>
        <sz val="9"/>
        <rFont val="Calibri"/>
        <family val="2"/>
      </rPr>
      <t xml:space="preserve"> Rigit Beton lanjutan Ruas Jalan Suradadi - Jatimulya di suradadi</t>
    </r>
  </si>
  <si>
    <r>
      <t xml:space="preserve">26. </t>
    </r>
    <r>
      <rPr>
        <sz val="9"/>
        <rFont val="Calibri"/>
        <family val="2"/>
      </rPr>
      <t>Rigit Beton Perbaikan Ruas Jalan BanjarturiBanjaragung</t>
    </r>
  </si>
  <si>
    <t>27. Peningkatan Ruas Jalan Kertayasa - Kramat</t>
  </si>
  <si>
    <r>
      <t xml:space="preserve">28. </t>
    </r>
    <r>
      <rPr>
        <sz val="9"/>
        <rFont val="Calibri"/>
        <family val="2"/>
      </rPr>
      <t>Konsultan Pengawas Peningkatan Jalan Sigentong - Kreman</t>
    </r>
  </si>
  <si>
    <r>
      <t xml:space="preserve">29. </t>
    </r>
    <r>
      <rPr>
        <sz val="9"/>
        <rFont val="Calibri"/>
        <family val="2"/>
      </rPr>
      <t>Konsultan Pengawas Peningkatan Ruas Jalan Kendayakan</t>
    </r>
  </si>
  <si>
    <t>30. Konsultan Pengawas Peningkatan Ruas Jalan Warurejo - Kedungjati</t>
  </si>
  <si>
    <t>31. Konsultan Pengawas Peningkatan Ruas Jalan Purwahamba - Blubuk</t>
  </si>
  <si>
    <r>
      <t xml:space="preserve">32. </t>
    </r>
    <r>
      <rPr>
        <sz val="9"/>
        <rFont val="Calibri"/>
        <family val="2"/>
      </rPr>
      <t>Peningkatan Jalan Ujungrusi - Banjaran</t>
    </r>
  </si>
  <si>
    <r>
      <t xml:space="preserve">33. </t>
    </r>
    <r>
      <rPr>
        <sz val="9"/>
        <rFont val="Calibri"/>
        <family val="2"/>
      </rPr>
      <t>Pengecoran jalan ruas Dukuhturi - Kepandean</t>
    </r>
  </si>
  <si>
    <r>
      <t xml:space="preserve">34. </t>
    </r>
    <r>
      <rPr>
        <sz val="9"/>
        <rFont val="Calibri"/>
        <family val="2"/>
      </rPr>
      <t>Rabat Beton Ruas Jalan Lemahduwur - Kajen</t>
    </r>
  </si>
  <si>
    <r>
      <t xml:space="preserve">35. </t>
    </r>
    <r>
      <rPr>
        <sz val="9"/>
        <rFont val="Calibri"/>
        <family val="2"/>
      </rPr>
      <t>Konsultan Pengawas Peningkatan Jalan Ujungrusi - Banjaran</t>
    </r>
  </si>
  <si>
    <r>
      <t>36.</t>
    </r>
    <r>
      <rPr>
        <sz val="9"/>
        <rFont val="Calibri"/>
        <family val="2"/>
      </rPr>
      <t xml:space="preserve"> Rigit Beton Ruas Jalan Karanganyar - Dukuh Kalisusu Cacaban Ds. Karanganyar Dk. Kalisusu Kec. Kedungbanteng</t>
    </r>
  </si>
  <si>
    <r>
      <t xml:space="preserve">37. </t>
    </r>
    <r>
      <rPr>
        <sz val="9"/>
        <rFont val="Calibri"/>
        <family val="2"/>
      </rPr>
      <t>Rigit Beton Ruas Jalan Tonggara - Margajaya Ds. Tonggara Dk. Margajaya Kec. Kedungbanteng</t>
    </r>
  </si>
  <si>
    <t>38. Peningkatan Ruas Jalan Lingkar Kota Slawi</t>
  </si>
  <si>
    <t>39. Peningkatan Ruas Jalan Ade Irma Suryani N (Lingkar Alun - Alun Slawi)</t>
  </si>
  <si>
    <t>40. Peningkatan Ruas Jalan Kalisoka - Gumayun</t>
  </si>
  <si>
    <t>41. Peningkatan Ruas Jalan Kancil</t>
  </si>
  <si>
    <t>42. Pembangunan Jalan ruas Jalan jalan teri II</t>
  </si>
  <si>
    <t>43. Konsultan Pengawas Peningkatan Ruas Jalan Lingkar Kota Slawi</t>
  </si>
  <si>
    <t>44. Konsultan Pengawas Peningkatan Ruas Jalan Ade Irma Suryani N (Lingkar Alun - Alun Slawi)</t>
  </si>
  <si>
    <t>45. Konsultan Pengawas Peningkatan Ruas Jalan Kalisoka - Gumayun</t>
  </si>
  <si>
    <r>
      <t xml:space="preserve">46. </t>
    </r>
    <r>
      <rPr>
        <sz val="9"/>
        <rFont val="Calibri"/>
        <family val="2"/>
      </rPr>
      <t>Konsultan Pengawas Peningkatan Ruas Jalan Kancil</t>
    </r>
  </si>
  <si>
    <t>47. Peningkatan Ruas Jalan Margasari - Jedug</t>
  </si>
  <si>
    <t>48. Peningkatan Ruas Jalan Pagerbarang - Jatibarang</t>
  </si>
  <si>
    <r>
      <t>49.</t>
    </r>
    <r>
      <rPr>
        <sz val="9"/>
        <rFont val="Calibri"/>
        <family val="2"/>
      </rPr>
      <t xml:space="preserve"> Konsultan Pengawas Peningkatan Ruas Jalan Margasari - Jedug</t>
    </r>
  </si>
  <si>
    <r>
      <t xml:space="preserve">50. </t>
    </r>
    <r>
      <rPr>
        <sz val="9"/>
        <rFont val="Calibri"/>
        <family val="2"/>
      </rPr>
      <t>Konsultan Pengawas Peningkatan Ruas Jalan Pagerbarang - Jatibarang</t>
    </r>
  </si>
  <si>
    <t>51. Peningkatan Ruas Jalan Senggang - Sumbaga</t>
  </si>
  <si>
    <t>52. Peningkatan Ruas Jalan Babakan - Karangmulya</t>
  </si>
  <si>
    <t>53. Peningkatan Ruas Jalan Bojong - Sokasari</t>
  </si>
  <si>
    <r>
      <t xml:space="preserve">54. </t>
    </r>
    <r>
      <rPr>
        <sz val="9"/>
        <rFont val="Calibri"/>
        <family val="2"/>
      </rPr>
      <t>Betonisasi jalan Sigedong - Dkhbenda</t>
    </r>
  </si>
  <si>
    <r>
      <t xml:space="preserve">55. </t>
    </r>
    <r>
      <rPr>
        <sz val="9"/>
        <rFont val="Calibri"/>
        <family val="2"/>
      </rPr>
      <t>Pembangunan Jalan penghubung Dukuh bujil - Dukuh siketi</t>
    </r>
  </si>
  <si>
    <r>
      <t xml:space="preserve">56. </t>
    </r>
    <r>
      <rPr>
        <sz val="9"/>
        <rFont val="Calibri"/>
        <family val="2"/>
      </rPr>
      <t>Pembetonan jalan Ruas Jalan Pagerkasih - Cawitali</t>
    </r>
  </si>
  <si>
    <r>
      <t xml:space="preserve">57. </t>
    </r>
    <r>
      <rPr>
        <sz val="9"/>
        <rFont val="Calibri"/>
        <family val="2"/>
      </rPr>
      <t>Konsultan Pengawas Peningkatan Ruas Jalan Senggang - Sumbaga</t>
    </r>
  </si>
  <si>
    <r>
      <t xml:space="preserve">58. </t>
    </r>
    <r>
      <rPr>
        <sz val="9"/>
        <rFont val="Calibri"/>
        <family val="2"/>
      </rPr>
      <t>Konsultan Pengawas Peningkatan Ruas Jalan Babakan - Karangmulya</t>
    </r>
  </si>
  <si>
    <t>59. Konsultan Pengawas Peningkatan Ruas Jalan Bojong - Sokasari</t>
  </si>
  <si>
    <t>60. Reviu DED Peningkaatan Jalan Bojong - Sokatengah</t>
  </si>
  <si>
    <r>
      <t xml:space="preserve">61. </t>
    </r>
    <r>
      <rPr>
        <sz val="9"/>
        <rFont val="Calibri"/>
        <family val="2"/>
      </rPr>
      <t>Reviu DED Peningkatan Jalan Sigentong - Kreman</t>
    </r>
  </si>
  <si>
    <t>62. Reviu DED Peningkatan Jalan Ujungrusi - Banjran</t>
  </si>
  <si>
    <r>
      <t xml:space="preserve">63. </t>
    </r>
    <r>
      <rPr>
        <sz val="9"/>
        <rFont val="Calibri"/>
        <family val="2"/>
      </rPr>
      <t>DED Peningkatan Ruas Jalan Ade Irma Suryani N (Lingkar Alun - Alun Slawi)</t>
    </r>
  </si>
  <si>
    <t>64. Reviu DED Peningkatan Ruas Jalan Babakan - Karangmulya</t>
  </si>
  <si>
    <r>
      <t xml:space="preserve">65. </t>
    </r>
    <r>
      <rPr>
        <sz val="9"/>
        <rFont val="Calibri"/>
        <family val="2"/>
      </rPr>
      <t>Reviu DED Peningkatan Ruas Jalan Kalisoka - Gumayun</t>
    </r>
  </si>
  <si>
    <r>
      <t xml:space="preserve">66. </t>
    </r>
    <r>
      <rPr>
        <sz val="9"/>
        <rFont val="Calibri"/>
        <family val="2"/>
      </rPr>
      <t>DED Peningkatan Ruas Jalan Kancil</t>
    </r>
  </si>
  <si>
    <r>
      <t xml:space="preserve">67. </t>
    </r>
    <r>
      <rPr>
        <sz val="9"/>
        <rFont val="Calibri"/>
        <family val="2"/>
      </rPr>
      <t>Reviu DED Peningkatan Ruas Jalan Kendayakan</t>
    </r>
  </si>
  <si>
    <r>
      <t xml:space="preserve">68. </t>
    </r>
    <r>
      <rPr>
        <sz val="9"/>
        <rFont val="Calibri"/>
        <family val="2"/>
      </rPr>
      <t>Reviu DED Peningkatan Ruas Jalan Linkar Kota Slawi</t>
    </r>
  </si>
  <si>
    <r>
      <t xml:space="preserve">69. </t>
    </r>
    <r>
      <rPr>
        <sz val="9"/>
        <rFont val="Calibri"/>
        <family val="2"/>
      </rPr>
      <t>DED Peningkatan Ruas Jalan Margasari - Jedug</t>
    </r>
  </si>
  <si>
    <r>
      <t xml:space="preserve">70. </t>
    </r>
    <r>
      <rPr>
        <sz val="9"/>
        <rFont val="Calibri"/>
        <family val="2"/>
      </rPr>
      <t>DED Peningkatan Ruas Jalan Pegerbarang -Jatibarang</t>
    </r>
  </si>
  <si>
    <r>
      <t>71.</t>
    </r>
    <r>
      <rPr>
        <sz val="9"/>
        <rFont val="Calibri"/>
        <family val="2"/>
      </rPr>
      <t xml:space="preserve"> DED Peningkatan Ruas Jalan Purwahamba - Blubuk</t>
    </r>
  </si>
  <si>
    <r>
      <t xml:space="preserve">72. </t>
    </r>
    <r>
      <rPr>
        <sz val="9"/>
        <rFont val="Calibri"/>
        <family val="2"/>
      </rPr>
      <t>Reviu DED Peningkatan Ruas Jalan Senggang - Sumbaga</t>
    </r>
  </si>
  <si>
    <t>73. Reviu DED Peningkatan Ruas Jalan Warurejo - Kedungjati</t>
  </si>
  <si>
    <t>74. Konsultan Pengawas Peningkatan Jalan Warurejo - Kedungjati Kab. Tegal (Banprov)</t>
  </si>
  <si>
    <t>75. Peningkatan Jalan Warurejo - Kedungjati Kab. Tegal (Banprov)</t>
  </si>
  <si>
    <t>76. BOP</t>
  </si>
  <si>
    <r>
      <t xml:space="preserve">77. </t>
    </r>
    <r>
      <rPr>
        <sz val="9"/>
        <rFont val="Calibri"/>
        <family val="2"/>
      </rPr>
      <t>Rigit beton ruas jalan Munjungagung - Kemantran</t>
    </r>
  </si>
  <si>
    <t>78. Rigid Beton Ruas Jalan Jatilawang - Dinuk</t>
  </si>
  <si>
    <r>
      <t xml:space="preserve">79. </t>
    </r>
    <r>
      <rPr>
        <sz val="9"/>
        <rFont val="Calibri"/>
        <family val="2"/>
      </rPr>
      <t>Betonisasi Jalan Gembongdadi (Ruas Jalan MTs Husnaba - Ladon Gembgongdadi)</t>
    </r>
  </si>
  <si>
    <t>80. Betonisasi Jalan Dukuh Siwen (Ruas jalan Kertasari - Dukuhsiwen)</t>
  </si>
  <si>
    <t>81. Pembangunan Rabat Beton Ruas Jalan Banjaragung - Warureja</t>
  </si>
  <si>
    <t>82. Lanjutan Rabat Beton Ruas Jalan Peleman - Sidaharja</t>
  </si>
  <si>
    <t>83. Rigit beton ruas jalan Banjaragung - Warureja</t>
  </si>
  <si>
    <t>Pelebaran Jalan Menuju Standar (Dinas Pekerjaan Umum dan Penataan Ruang)</t>
  </si>
  <si>
    <t>1. Pelebaran Jalan Ruas Singkil - Kalipucang</t>
  </si>
  <si>
    <t>2. Pelebaran Jalan Ruas Kalikangkung - Grobog Wetan</t>
  </si>
  <si>
    <t>3. Pelebaran Ruas Jalan Senggang - Karangjambu</t>
  </si>
  <si>
    <t>4. Konsultan Perencanaan Pelebaran Ruas Jalan Senggang - Karangjambu</t>
  </si>
  <si>
    <t>5. Konsultan Pengawas Pelebaran Ruas Jalan Senggang - Karangjambu</t>
  </si>
  <si>
    <t>6. Pelebaran Jalan Ruas jalan gunung agung - jejeg</t>
  </si>
  <si>
    <t>7. Pelebaran jalan Ruas jalan gunungjati - batunyana</t>
  </si>
  <si>
    <t>8. Pelebaran jalan Ruas jalan jejeg - pagerkasih</t>
  </si>
  <si>
    <t>9. Pelebaran Jalan Ruas jalan muncanglarang - jejeg</t>
  </si>
  <si>
    <t>11. Pelebaran Jalan Perlintasan Palang Pintu Rel Kereta Desa Tembok Lor Kec. Adiwerna</t>
  </si>
  <si>
    <t>Rekonstruksi Jalan (Dinas Pekerjaan Umum dan Penataan Ruang)</t>
  </si>
  <si>
    <t>1. Pembangunan Talud jalan Bumiharja - Kedokansayang</t>
  </si>
  <si>
    <t>2. Pembangunan Talud Ruas jalan dawuhan - getaskerep</t>
  </si>
  <si>
    <t>3. Pembangunan Talud Ruas jalan Jatirawa - Purbasana</t>
  </si>
  <si>
    <t>4. Pembangunan Talud Ruas Jalan Karangmangu - Lebeteng</t>
  </si>
  <si>
    <t>5. Pembangunan Talud Ruas Jalan Kesamiran - Kalijambe</t>
  </si>
  <si>
    <t>6. Pembangunan Talud Ruas Jalan Pesarean - Kebasen</t>
  </si>
  <si>
    <t>7. Peningkatan Jalan Ruas Purbasana – Kabukan</t>
  </si>
  <si>
    <t>8. Talud jalan Ruas jalan harjosari kidul – harjosari lor</t>
  </si>
  <si>
    <t>9. Talud Jalan Ruas Jalan Kaladawa - Wangandawa</t>
  </si>
  <si>
    <t>10. Talud ruas jalan gembong kulon - pasangan (depan SD)</t>
  </si>
  <si>
    <t>11. Pembangunan Talud Ruas jalan grobog wetan - jatirawa</t>
  </si>
  <si>
    <t>12. Pembangunan Trotoar Jalan Ruas Kalikangkung - Grobog Wetan</t>
  </si>
  <si>
    <t>13. Pembangunan Trotoar/Talud Ruas Jalan Bogares - Pangkah</t>
  </si>
  <si>
    <t>14. Pembangunan talud Ruas Jalan Slarang Lor - Slarang Kidul, Kecamatan Dukuhwaru</t>
  </si>
  <si>
    <t>15. Pembangunan Bronjong Jalan Ruas Jalan Anggrek</t>
  </si>
  <si>
    <t>16. Pembangunan Bronjong Jalan Ruas Jalan Dewi Sartika</t>
  </si>
  <si>
    <t>17. Pembangunan Bronjong Jalan Ruas Jalan Semboja</t>
  </si>
  <si>
    <t>18. Lanjutan pembuatan trotoar Jl Raya Margasari - margasari</t>
  </si>
  <si>
    <t>19. Pembangunan Talud di Ruas Jalan Cilongok – Danareja</t>
  </si>
  <si>
    <t>20. Pembangunan Talud Ruas Jalan Cibunar – Mulyoharjo (SIdomulyo)</t>
  </si>
  <si>
    <t>21. Talud Cilongok -Karangjambu Kec Balapulang</t>
  </si>
  <si>
    <t>22. Trotoar Jalan Pagerbarang - Randusari</t>
  </si>
  <si>
    <t>23. Lanjutan trotoar ruas jalan bumijawa - batumirah</t>
  </si>
  <si>
    <t>24. Pembangunan Talud gunung jati - puncangluwuk</t>
  </si>
  <si>
    <t>25. Pembangunan talud ruas jalan muncanglarang - dukuhrawa</t>
  </si>
  <si>
    <t>26. Pembangunan Trotoar Tuwel - Guci</t>
  </si>
  <si>
    <t>27. Talud Batumirah - Desa Dukuhbenda</t>
  </si>
  <si>
    <t>28. Talud jalan Dkhsiketi - Glempang</t>
  </si>
  <si>
    <t>29. Talud Ruas jalan gunungjati - batunyana</t>
  </si>
  <si>
    <t>30. Talud ruas jalan Jejeg – Gunung agung</t>
  </si>
  <si>
    <t>31. Trotoar Ruas jalan cempaka - krikil</t>
  </si>
  <si>
    <t>32. BOP</t>
  </si>
  <si>
    <t>33. Talud ruas jalan Purbasana - kabukan</t>
  </si>
  <si>
    <t>34. Talud Ruas Jalan Kaladawa - mejasem</t>
  </si>
  <si>
    <t>35. Talud ruas jalan Slarang Kidul - Kambangan</t>
  </si>
  <si>
    <t>36. Pembangunan Bronjong Ruas Jalan Batuagung - Cenggini (Tugu Selamat datang Cenggini)</t>
  </si>
  <si>
    <t>Rehabilitasi Jalan (Dinas Pekerjaan Umum dan Penataan Ruang)</t>
  </si>
  <si>
    <t>1. Pengaspalan Jalan Randusari - Jatipelag</t>
  </si>
  <si>
    <t>2. Pengaspalan Jalan Ruas Margasari - Pakulaut</t>
  </si>
  <si>
    <t>Pemeliharaan Berkala Jalan (Dinas Pekerjaan Umum dan Penataan Ruang)</t>
  </si>
  <si>
    <t>1. Lanjutan peningkatan jalan ruas jalan karangmalang - lodadi</t>
  </si>
  <si>
    <t>2. Lanjutan peningkatan jalan ruas kebandingan - gembongdadi</t>
  </si>
  <si>
    <t>3. Pembangunan Makadam Ruas Rangimulya - Banjarturi</t>
  </si>
  <si>
    <t>4. Pengaspalan jalan ruas jalan kramat kertayasa</t>
  </si>
  <si>
    <t>5. Pengaspalan Jalan Ruas Warureja - Sukareja</t>
  </si>
  <si>
    <t>6. Pengaspalan jalan suradadi - Kertasari</t>
  </si>
  <si>
    <t>7. Peningkatan Jalan Bojongsana - Kertasari di Desa Bojongsana</t>
  </si>
  <si>
    <t>8. Peningkatan Jalan desa jatimulya - harjasari</t>
  </si>
  <si>
    <t>9. Peningkatan jalan Harjasari - Jatimulya (di Harjasari )</t>
  </si>
  <si>
    <t>10. Peningkatan Jalan Penghubung Babakan - Kemantran</t>
  </si>
  <si>
    <t>11. Peningkatan Jalan Ruas Banjarturi - Banjaragung</t>
  </si>
  <si>
    <t>12. Peningkatan Jalan Ruas Demangharjo Barat - Demangharjo</t>
  </si>
  <si>
    <t>13. Peningkatan Jalan Ruas Demangharjo - Rangimulya</t>
  </si>
  <si>
    <t>14. Peningkatan Jalan Ruas Demangharjo Timur - Demangharjo</t>
  </si>
  <si>
    <t>15. Peningkatan jalan Ruas Dk. Siwen - Kertasari di Kertasari</t>
  </si>
  <si>
    <t>16. Peningkatan jalan ruas harjasari - harjasari di jalan badrum.</t>
  </si>
  <si>
    <t>17. Peningkatan Jalan Ruas Jalan Bongkok Jatilawang</t>
  </si>
  <si>
    <t>18. Peningkatan jalan ruas jalan Gembongdadi - Harjasari</t>
  </si>
  <si>
    <t>19. Peningkatan jalan Ruas jalan karangwuluh - lodadi</t>
  </si>
  <si>
    <t>20. Peningkatan Jalan Ruas Jalan Kedung Kelor - Kesambi (DK. Panjatan)</t>
  </si>
  <si>
    <t>21. Peningkatan Jalan Ruas Jalan Kepunduhan - Ketileng</t>
  </si>
  <si>
    <t>22. Peningkatan Jalan Ruas Jalan Mejasem Timur</t>
  </si>
  <si>
    <t>23. Peningkatan jalan Ruas Jalan Sidamulya - Semedo</t>
  </si>
  <si>
    <t>24. Peningkatan jalan ruas jalan sigentong - kreman</t>
  </si>
  <si>
    <t>25. Peningkatan Jalan Ruas Jalan Warureja - Banjaragung</t>
  </si>
  <si>
    <t>26. Peningkatan Jalan Ruas Karang Mulya Dukuh Semendot</t>
  </si>
  <si>
    <t>27. Peningkatan Jalan Ruas Kebandingan - Dukuh Bandung</t>
  </si>
  <si>
    <t>28. Peningkatan jalan ruas Kertasari - Bader RW 03 - RW 06 di Kertasari</t>
  </si>
  <si>
    <t>29. Peningkatan Jalan Ruas Kertayasa-Bongkok (dari Kertayasa)</t>
  </si>
  <si>
    <t>30. Peningkatan Jalan Ruas Kreman - Kreman</t>
  </si>
  <si>
    <t>31. Peningkatan Jalan Ruas Kreman - Sukareja di Kreman</t>
  </si>
  <si>
    <t>32. Peningkatan jalan ruas sidaharja - jatibogor</t>
  </si>
  <si>
    <t>33. Peningkatan Jalan Ruas Sidaharja - Purwahamba</t>
  </si>
  <si>
    <t>34. Peningkatan Jalan Ruas Warureja - Rangimulya</t>
  </si>
  <si>
    <t>35. Peningkatan Jalan Rus Jalan Jatimulya - Dukuh Bulakbanteng</t>
  </si>
  <si>
    <t>36. Peningkatan Jalan Sidoharjo Jatibogor Purwahamba Jln Kendalan</t>
  </si>
  <si>
    <t>37. Shandsheet Jalan Ruas Banjarturi - Rangimulya</t>
  </si>
  <si>
    <t>38. Pengaspalan jalan ruas ajalan Sigentong - Kedungjati</t>
  </si>
  <si>
    <t>39. sensit jalan ruas jalan BumiharjaKemantran</t>
  </si>
  <si>
    <t>40. Pengasapalan Jalan Ruas Jalan Lemahduwur - Pesarean</t>
  </si>
  <si>
    <t>41. Pengaspalan jalan ruas Grogol - Pagongan</t>
  </si>
  <si>
    <t>42. Pengaspalan Jalan ruas jalan Bersole – Kupu</t>
  </si>
  <si>
    <t>43. Pengaspalan jalan ruas jalan Debong Wetan - Grogol</t>
  </si>
  <si>
    <t>44. Pengaspalan jalan ruas jalan dukuh pesawahan adiwerna - adiwerna</t>
  </si>
  <si>
    <t>45. Pengaspalan jalan ruas jalan dukuhturi - sidakaton</t>
  </si>
  <si>
    <t>46. Pengaspalan jalan ruas jalan Gondangdia – Kepandean</t>
  </si>
  <si>
    <t>47. Pengaspalan jalan ruas Jalan kaligayam - sutapranan</t>
  </si>
  <si>
    <t>48. Pengaspalan Jalan Ruas Jalan Kebasen Kebasen</t>
  </si>
  <si>
    <t>49. Pengaspalan Jalan Ruas Jalan Kupu – Gumalar,-</t>
  </si>
  <si>
    <t>50. Pengaspalan jalan ruas jalan kupu - sidapurna</t>
  </si>
  <si>
    <t>51. Pengaspalan Jalan ruas jalan Lumingser -Kedungsukun</t>
  </si>
  <si>
    <t>52. Pengaspalan Jalan Ruas JAlan Moh Abuseri</t>
  </si>
  <si>
    <t>53. Pengaspalan Jalan Ruas Jalan Pacul - Kademangaran</t>
  </si>
  <si>
    <t>54. Pengaspalan jalan ruas jalan pedeslohor - pedeslohor</t>
  </si>
  <si>
    <t>55. Pengaspalan jalan Ruas jalan pegirikan - bedug</t>
  </si>
  <si>
    <t>56. Pengaspalan jalan ruas jalan sulang – getaskerep di desa pacul</t>
  </si>
  <si>
    <t>57. Pengaspalan Jalan Ruas Jalan Tembok Banjaran - Ujungrusi</t>
  </si>
  <si>
    <t>58. Pengaspalan Jalan Ruas Jalan Trayeman - Harjosari Kidul</t>
  </si>
  <si>
    <t>59. Pengaspalan jalan ruas Ketanggungan - Lumingser</t>
  </si>
  <si>
    <t>60. Pengaspalan jalan ruas Ketanggungan - Pangarasan</t>
  </si>
  <si>
    <t>61. Pengaspalan jalan ruas Pepedan - Grogol</t>
  </si>
  <si>
    <t>62. Pengaspalan jalan ruas Pepedan - Pekauman Kulon</t>
  </si>
  <si>
    <t>63. Pengaspalan Jalan Ruas Pepedan - Pepedan</t>
  </si>
  <si>
    <t>64. Pengaspalan Jalan Ruas Sidakaton - Sampang</t>
  </si>
  <si>
    <t>65. Pengaspalan Jalan Ruas Tembok Luwung - Tembok Kidul</t>
  </si>
  <si>
    <t>66. Pengaspalan ruas jalan kaladawa - mejasem</t>
  </si>
  <si>
    <t>67. Pengerasan Jalan Bango Ruas Pedeslohor - Kalipucang</t>
  </si>
  <si>
    <t>68. Peningkatan Jalan Bulakpacing –Pedeslohor,.</t>
  </si>
  <si>
    <t>69. Peningkatan jalan gembong kulon – pasangan kec. Talang</t>
  </si>
  <si>
    <t>70. Peningkatan jalan pasangan – langgen kec. Talang</t>
  </si>
  <si>
    <t>71. Peningkatan jalan ruas jalan dukuh kebanyon-kesadikan</t>
  </si>
  <si>
    <t>72. Peningkatan jalan Ruas jalan gembong kulon - pekiringan (pedukuhan kalimati)</t>
  </si>
  <si>
    <t>73. Peningkatan Jalan Ruas jalan kedokansayang - tarub</t>
  </si>
  <si>
    <t>74. Peningkatan Jalan Ruas Jalan Kedungbungkus - Kedokansayang</t>
  </si>
  <si>
    <t>75. Peningkatan Jalan Ruas Mindaka - Bulakwaru</t>
  </si>
  <si>
    <t>76. Peningkatan Jalan Ruas Procot - Tembok Luwung</t>
  </si>
  <si>
    <t>77. Perbaikan Jalan Ruas jalan jatirawa - purbasana</t>
  </si>
  <si>
    <t>78. Perbaikan jalan Ruas jalan kabukan - jatirawa</t>
  </si>
  <si>
    <t>79. Sensit jalan ruas jalan mangunsarenkertaharja</t>
  </si>
  <si>
    <t>80. Peningkatan Jalan Ruas Jalan Bulakwaru - Margapadang</t>
  </si>
  <si>
    <t>81. Peningkatan Jalan Ruas Bengle - Setu</t>
  </si>
  <si>
    <t>82. Pengaspalan Ruas Jalan Karanganyar - Karanganyar Ds.Karanganyar komplek Jatilaba Kec Kedungbanteng</t>
  </si>
  <si>
    <t>83. Peningkatan Jalan Cerih – Kajenengan</t>
  </si>
  <si>
    <t>84. Peningkatan Jalan Grobog Kulon – Grobog Kulon</t>
  </si>
  <si>
    <t>85. Peningkatan Jalan Karanganyar – Cacaban</t>
  </si>
  <si>
    <t>86. Peningkatan Jalan Karangayar – Penusupan</t>
  </si>
  <si>
    <t>87. Peningkatan Jalan Kedungwungu - Mokaha</t>
  </si>
  <si>
    <t>88. Peningkatan Jalan Ruas Jalan Wotgalih – Wanarata</t>
  </si>
  <si>
    <t>89. Peningkatan Jalan Ruas Jatinegara - Gantungan Kec. Jatinegara</t>
  </si>
  <si>
    <t>90. Peningkatan Jalan Ruas Padasari - Padareka Kec. Jatinegara</t>
  </si>
  <si>
    <t>91. Peningkatan Jalan Ruas Tonggara - Bogares Lor</t>
  </si>
  <si>
    <t>92. Peningkatan Jalan Tamansari – Tipar</t>
  </si>
  <si>
    <t>93. Perbaikan Jalan Ruas jalan jatirawa - grobog wetan (di jatirawa)</t>
  </si>
  <si>
    <t>94. Pengaspalan Jalan Teuku Umar, Desa Dukuhsalam, Kecamatan Slawi</t>
  </si>
  <si>
    <t>95. Pengaspalan Jalan WR. supratman ruas jalan Dukuhwringin - Jatimulya</t>
  </si>
  <si>
    <t>96. Pengaspalan Ruas Jalan Juanda</t>
  </si>
  <si>
    <t>97. Pengaspalan Jalan Ir. Juanda ,Desa Trayeman, Kecamatan Slawi</t>
  </si>
  <si>
    <t>98. Pengaspalan Jalan Jeruk Pedagangan</t>
  </si>
  <si>
    <t>99. Pengaspalan jalan ruas jalan pagiyanten - bulakpacing</t>
  </si>
  <si>
    <t>100. Peningkatan Jalan Krasak - Jatipelag</t>
  </si>
  <si>
    <t>101. Peningkatan Jalan Patimura Dukuhsalam</t>
  </si>
  <si>
    <t>102. Peningkatan jalan Ruas Blubug – Slarang Lor Kec Dukuhwaru</t>
  </si>
  <si>
    <t>103. Peningkatan Jalan Ruas Jalan Mawar</t>
  </si>
  <si>
    <t>104. Peningkatan jalan Ruas jalan Tegal Kubur - Dukuhlo</t>
  </si>
  <si>
    <t>105. Peningkatan Jalan Ruas jalan Yamansari - Dukuhlo</t>
  </si>
  <si>
    <t>106. Peningkatan jalan ruas jalan Yamansari - Kajen</t>
  </si>
  <si>
    <t>107. Peningkatan jalan ruas jalan yamansari - lebakgowah</t>
  </si>
  <si>
    <t>108. Peningkatan Jalan Sindang – Kalisoka</t>
  </si>
  <si>
    <t>109. Peningkatan Jalan Slarang KIdul - Kambangan</t>
  </si>
  <si>
    <t>110. Perbaikan Jalan Ruas Jalan Blubuk - Blubuk</t>
  </si>
  <si>
    <t>111. Perbaikan Jalan Ruas Jalan Budimulya</t>
  </si>
  <si>
    <t>112. Peningkatan Jalan Ruas Jatilawang – Cenggini</t>
  </si>
  <si>
    <t>113. Lanjutan Peningkatan Jalan SMP 2 Margasari - Pakulaut</t>
  </si>
  <si>
    <t>114. Pengasapalan Jalan Ruas Jalan Cilongok - Danareja</t>
  </si>
  <si>
    <t>115. Pengaspalan Jalan Bulakmenjangan - Cibunar</t>
  </si>
  <si>
    <t>116. Pengaspalan Jalan Dukuh Petung (Ruas Jalan Jembayat - Danareja)</t>
  </si>
  <si>
    <t>117. Pengaspalan Jalan Karanganyar - Kertaharja</t>
  </si>
  <si>
    <t>118. Pengaspalan jalan Karanganyar - Pagerbarang</t>
  </si>
  <si>
    <t>119. Pengaspalan Jalan Mulyoharo (Ruas Jalan Semboja - Randusari)</t>
  </si>
  <si>
    <t>120. Pengaspalan jalan ruas pagerbarang - pagerbarang</t>
  </si>
  <si>
    <t>121. Peningkatan jalan bantingan - kaligayam</t>
  </si>
  <si>
    <t>122. Peningkatan Jalan Desa Dukuhtengah - Wanasari</t>
  </si>
  <si>
    <t>123. Peningkatan jalan dukuh mlodok - desa dukuhtengah</t>
  </si>
  <si>
    <t>124. Peningkatan Jalan Kalisalak Margahayu Komplek SMP IT Kalisalak</t>
  </si>
  <si>
    <t>125. Peningkatan Jalan Pagerbarang – Srengseng</t>
  </si>
  <si>
    <t>126. Peningkatan Jalan Rajegwesi - Pagerbarang Dukuh</t>
  </si>
  <si>
    <t>127. Peningkatan Jalan Ruas Bulakmenjangan - Jatiwangi (Pesuruan)</t>
  </si>
  <si>
    <t>128. Peningkatan Jalan Ruas Jalan Pagerbarang - Kertaharja</t>
  </si>
  <si>
    <t>129. Peningkatan Jalan Ruas Jembayat - Danaraja</t>
  </si>
  <si>
    <t>130. Peningkatan Jalan Ruas Jembayat - Jembayat</t>
  </si>
  <si>
    <t>131. Peningkatan Jalan Ruas Pakulaut - Desa Dukuhtengah</t>
  </si>
  <si>
    <t>132. Peningkatan Jalan Ruas Prupuk Selatan - Sidamulya</t>
  </si>
  <si>
    <t>133. Peningkatan Jalan Sesepan - Kaligimber</t>
  </si>
  <si>
    <t>134. Peningkatan Jalan Surokidul – Karanglo</t>
  </si>
  <si>
    <t>135. Perbaikan Jalan Jedug - Pagerbarang</t>
  </si>
  <si>
    <t>136. Peningkatan Jalan Ruas Jalan Simpar - Sangkanayu</t>
  </si>
  <si>
    <t>137. Pemeliharaan Jalan Ruas Jalan Sumbaga – Carul</t>
  </si>
  <si>
    <t>138. Peningkatan Jalan Ruas Jalan Bumijawa - Bumijawa</t>
  </si>
  <si>
    <t>139. Peningkatan Jalan ruas jalan Bumijawa - Gupakan</t>
  </si>
  <si>
    <t>140. Peningkatan Jalan ruas jalan Bumijawa - Muncanglarang</t>
  </si>
  <si>
    <t>141. Peningkatan Jalan Ruas Jalan Dukuh Aren - Dukuh Bujil</t>
  </si>
  <si>
    <t>142. Peningkatan Jalan ruas jalan Dukuhrawa - Cintamanik</t>
  </si>
  <si>
    <t>143. Peningkatan Jalan Ruas Jalan Muncanglarang - Dukuhrawa</t>
  </si>
  <si>
    <t>144. Peningkatan Jalan Ruas Jalan Sigedong - Sawangan</t>
  </si>
  <si>
    <t>145. Peningkatan Jalan Ruas Sigedong - Dukuhbenda</t>
  </si>
  <si>
    <t>146. Peningkatan Jalan Sumbaga - Sookasari</t>
  </si>
  <si>
    <t>147. Perbaikan Jalan Ruas Jalan Sokatengah - Sumbaga</t>
  </si>
  <si>
    <t>148. BOP</t>
  </si>
  <si>
    <t>149. Pembangunan Jalan Ruas Plumbungan - Tanjungharja (Kemuning)</t>
  </si>
  <si>
    <t>150. Pembangunan Jalan Ruas Banjaragung - Kedungkelor</t>
  </si>
  <si>
    <t>151. Pembangunan Jalan Ruas Karangmalang - Kebandingan</t>
  </si>
  <si>
    <t>152. Pengaspalan jalan ruas jalan plumbungan - bangungalih</t>
  </si>
  <si>
    <t>153. Peningkatan jalan ruas jalan lodadi - karangmalang (SD Gembongdadi keselatan)</t>
  </si>
  <si>
    <t>154. Shensit Jalan Ruas jalan Kertayasa - Bongkok(di kertayasa)</t>
  </si>
  <si>
    <t>155. Pembangunan Sandseet Ruas Jalan Kertasari - Dk. Siwen</t>
  </si>
  <si>
    <t>156. Shanseet Jalan ruas jalan Tanjungharja - Kemuning ( Sebelah selatan gerbang Desa )</t>
  </si>
  <si>
    <t>157. Rigit Beton Ruas Jalan Mangunsaren - Kesadikan</t>
  </si>
  <si>
    <t>158. Peningkatan Jalan Ruas Setu - Mindaka</t>
  </si>
  <si>
    <t>159. Rigid Beton Jalan Ruas Bulakwaru - Karangjati</t>
  </si>
  <si>
    <t>160. Pembangunan Jalan Ruas Mindaka - Bulakwaru</t>
  </si>
  <si>
    <t>161. Peningkatan Jalan Ruas Jalan Kesadikan - Dukuhkebayon</t>
  </si>
  <si>
    <t>162. Pembangunan Jalan Ruas Lawatan -  Kupu</t>
  </si>
  <si>
    <t>163. Pengaspalan Ruas Tembok Luwung -Tembok Luwung (Tembok Luwung )</t>
  </si>
  <si>
    <t>164. Pengaspalan Ruas Tembok Luwung - Grobog Kulon ( Tembok Luwung )</t>
  </si>
  <si>
    <t>165. Pembangunan Jalan Ruas Cerih - Penyalahan</t>
  </si>
  <si>
    <t>166. Pembangunan Jalan Ruas Penyalahan - Cikura</t>
  </si>
  <si>
    <t>167. Pembangunan Jalan Ruas Banjaran - Kalikangkung</t>
  </si>
  <si>
    <t>168. Trotoar Pangkah- Balamoa</t>
  </si>
  <si>
    <t>169. Pembangunan Jalan Ruas RP. Suroso</t>
  </si>
  <si>
    <t>170. Pembangunan Jalan Ruas Blubuk - Kedungsukun</t>
  </si>
  <si>
    <t>171. Pembangunan Jalan Ruas Kota Dukuhwaru - Dukuhwaru</t>
  </si>
  <si>
    <t>172. Perbaikan Trotoar Gedung KORPRI</t>
  </si>
  <si>
    <t>173. Peningkatan Jalan Ruas Kancil (Lanjutan)</t>
  </si>
  <si>
    <t>174. Pengaspalan Jalan Ruas Jalan Pedagangan - Trayeman</t>
  </si>
  <si>
    <t>175. Pengaspalan jalan Dukuhwaru Kota - Dukuhwaru</t>
  </si>
  <si>
    <t>176. Pemeliharaan Jalan Kabupaten</t>
  </si>
  <si>
    <t>177. Pengaspalan jalan ruas Sindang-Kalisoka</t>
  </si>
  <si>
    <t>178. Pembangunan Trotoar Ruas Jalan Kambangan - Balaradin</t>
  </si>
  <si>
    <t>179. Peningkatan Jalan (Peninggian dan Pengaspalan) Ruas Jalan Delima samping Kantor Dinas Perpusip ke Timur Pertigaan Monumen GBN Procot</t>
  </si>
  <si>
    <t>180. Pembangunan Jalan Ruas Margasari - Jedug</t>
  </si>
  <si>
    <t xml:space="preserve">181. Peningkatan Jalan Ruas Margaayu - Kalisalak </t>
  </si>
  <si>
    <t>182. Pengaspalan Jalan Ruas Jalan Danareja Jembayat Lokasi di danareja</t>
  </si>
  <si>
    <t>183. Pengaspalan Jalan Randusari - Pagerbarang</t>
  </si>
  <si>
    <t>184. Peningkatan Jalan Ruas Jalan Kertaharja - Karanganyar Kec. Pagerbarang</t>
  </si>
  <si>
    <t>185. Trotoar Jalan Randusari - Pagerbarang</t>
  </si>
  <si>
    <t>186. Peningkatan Ruas Jalan Di Desa Kajenengan (Sd Ke Utara)</t>
  </si>
  <si>
    <t>187. Peningkatan Jalan Cintamanik - Dukuhbenda</t>
  </si>
  <si>
    <t>188. Pengaspalan Jalan Tuwel - Dukuh Babakan</t>
  </si>
  <si>
    <t>189. Peningkatan Jalan Carul - Pagerkasih</t>
  </si>
  <si>
    <t>190. Peningkatan Jalan Ruas Jalan Pagerkasih - Traju</t>
  </si>
  <si>
    <t>191. Perbaikan Jalan Ruas Jalan Pagerkasih - Traju</t>
  </si>
  <si>
    <t>192. Peningkatan Jalan Ruas Jalan Rembul - Karangmulya</t>
  </si>
  <si>
    <t>193. Peningkatan Jalan Ruas Jalan Dukuh Siketi - Glempang</t>
  </si>
  <si>
    <t>Pemeliharaan Rutin Jalan (Dinas Pekerjaan Umum dan Penataan Ruang)</t>
  </si>
  <si>
    <t>1. Belanja Jasa Administrasi</t>
  </si>
  <si>
    <t>2. Pengadaan Besi IWF dan Plat Besi</t>
  </si>
  <si>
    <t>3. Pengadaan Tolo - Tolo dan Prasasti</t>
  </si>
  <si>
    <t>4. Pengadaan Aspal Cool Mix Tahap I</t>
  </si>
  <si>
    <t>5. Pengadaan Aspal Cool Mix Tahap II</t>
  </si>
  <si>
    <t>6. Pengadaan Aspal Cool Mix Tahap III</t>
  </si>
  <si>
    <t>7. Pengadaan Aspal Drum</t>
  </si>
  <si>
    <t>8. Pengadaan Batu Pecah Mesin</t>
  </si>
  <si>
    <t>9. Pengadaan Box Culvert 600 x 600 x 1000mm</t>
  </si>
  <si>
    <t>10. Pengadaan Box Culvert 800 x 800 x 1000mm</t>
  </si>
  <si>
    <t>11. Belanja Pakaian Olahraga</t>
  </si>
  <si>
    <t>12. Penyempurnaan Aplikasi Si Jamblang</t>
  </si>
  <si>
    <t>13. Surve Kondisi Jalan dan Jembatan UPTD Pemeliharaan Jalan, Irigasi Dan Penataan Bangunan I</t>
  </si>
  <si>
    <t>14. Surve Kondisi Jalan dan Jembatan UPTD Pemeliharaan Jalan, Irigasi Dan Penataan Bangunan II</t>
  </si>
  <si>
    <t>15. Surve Kondisi Jalan dan Jembatan UPTD Pemeliharaan Jalan, Irigasi Dan Penataan Bangunan III</t>
  </si>
  <si>
    <t>16. Surve Kondisi Jalan dan Jembatan UPTD Pemeliharaan Jalan, Irigasi Dan Penataan Bangunan IV</t>
  </si>
  <si>
    <t>17. Surve Kondisi Jalan dan Jembatan UPTD Pemeliharaan Jalan, Irigasi Dan Penataan Bangunan V</t>
  </si>
  <si>
    <t>18. Surve Kondisi Jalan dan Jembatan UPTD Pemeliharaan Jalan, Irigasi Dan Penataan Bangunan VI</t>
  </si>
  <si>
    <t>19. Pemeliharaan Jalan Pala 27 - Padaharja dan Sulang - Mejasem Timur</t>
  </si>
  <si>
    <t>20. Pemeliharaan Jalan Mindaka - Setu</t>
  </si>
  <si>
    <t>21. Pemeliharaan Jalan Jatinegara - Tamansari</t>
  </si>
  <si>
    <t>22. Pemeliharaan Jalan Mangga, Jalan Imam Bonjol, Jalan Kemiri</t>
  </si>
  <si>
    <t>23. Pemeliharaan Rutin Jalan Margasari - Pakulaut dan Depan SMPN 1 Margasari</t>
  </si>
  <si>
    <t>24. Pemeliharaan Jalan Pucangluwuk - Kajenengan</t>
  </si>
  <si>
    <t>25. Pemeliharaan Jalan Margasari - Jedug</t>
  </si>
  <si>
    <t>26. Pemeliharaan Jalan Jedug - Pagerbarang</t>
  </si>
  <si>
    <t>27. Pemeliharaan Jalan Pagerbarang - Jatibarang</t>
  </si>
  <si>
    <t>28. Pemeliharaan Jalan Semboja - Mulyoharjo</t>
  </si>
  <si>
    <t>29. Pemeliharaan Jalan Mulyoharjo - Randusari - Jatibarang</t>
  </si>
  <si>
    <t>30. Pemeliharaan Jalan Tegalwangi - Dukuhturi - Sumurpanggang</t>
  </si>
  <si>
    <t>31. Pemeliharaan Jalan Depan LP Tegalandong</t>
  </si>
  <si>
    <t>32. Pemeliharaan Jalan Jatibogor - Kertasari</t>
  </si>
  <si>
    <t>33. Pemeliharaan Jalan Tonggara - Kebandingan</t>
  </si>
  <si>
    <t>34. Pemeliharaan Jalan Sigentong - Semedo</t>
  </si>
  <si>
    <t>35. Pemeliharaan Jalan Pagongan - Kaladawa - Mejasem</t>
  </si>
  <si>
    <t>36. Pemeliharaan Jalan Kaladawa - Getaskerep - Pacul</t>
  </si>
  <si>
    <t>37. Pemeliharaan Jalan Yomani - Kalibakung</t>
  </si>
  <si>
    <t>38. Pemeliharaan Jalan Kalibakung - Senggang - Karangjambu</t>
  </si>
  <si>
    <t>39. Pemeliharaan Jalan Jatinegara - Penyalahan</t>
  </si>
  <si>
    <t>40. Pemeliharaan Jalan Penyalahan - Cikura</t>
  </si>
  <si>
    <t>41. Pemeliharaan Jalan Grobogkulon - Grobogwetan</t>
  </si>
  <si>
    <t>42. Pemeliharaan Jalan Suradadi - Bader</t>
  </si>
  <si>
    <t>43. Pemeliharaan Jalan Babakan - Kertayasa</t>
  </si>
  <si>
    <t>44. Pemeliharaan Jalan Kertayasa - Jatibogor</t>
  </si>
  <si>
    <t>45. Pemeliharaan Jalan Tembus 407</t>
  </si>
  <si>
    <t>46. Pemeliharaan Jalan Jejeg - Krikil</t>
  </si>
  <si>
    <t>47. Pemeliharaan Jalan Anggrek Slawi</t>
  </si>
  <si>
    <t>48. Pemeliharaan Jalan Siklepuh Wangandawa - Kemantran</t>
  </si>
  <si>
    <t>49. Pemeliharaan Jalan Bojong - Batunyana</t>
  </si>
  <si>
    <t>50. Pemeliharaan Jalan Muncanglarang - Jejeg</t>
  </si>
  <si>
    <t>51. Pemeliharaan Jalan Kedungsukun - Pedeslohor</t>
  </si>
  <si>
    <t>52. Pemeliharaan Jalan Gumayun - Pagiyanten</t>
  </si>
  <si>
    <t>53. Pemeliharaan Jalan Batunyana - Danasari</t>
  </si>
  <si>
    <t>54. Pemeliharaan Jalan Kalisoka - Sindang</t>
  </si>
  <si>
    <t>55. Pemeliharaan Jalan Balamoa - Paketiban</t>
  </si>
  <si>
    <t>56. Pemeliharaan Rutin Jalan dan Drainase Tuwel - Bojong</t>
  </si>
  <si>
    <t>57. Pemeliharaan Jalan Perkotaan Slawi</t>
  </si>
  <si>
    <t>58. Pemeliharaan Jalan Trayeman - Singkil</t>
  </si>
  <si>
    <t>59. Pemeliharaan Jalan Singkil - Debongkidul</t>
  </si>
  <si>
    <t>60. Pemeliharaan Jalan Balamoa - Jenggul</t>
  </si>
  <si>
    <t>61. Pemeliharaan Jalan Curug - Pangkah - Kalikangkung</t>
  </si>
  <si>
    <t>62. Pemeliharaan Jalan Kebandingan - Karangmalang</t>
  </si>
  <si>
    <t>63. BOP</t>
  </si>
  <si>
    <t>64. Pemeliharaan Jalan Sigedong - Sawangan</t>
  </si>
  <si>
    <t>65. Pemeliharaan Jalan Kalisoka - Sindang</t>
  </si>
  <si>
    <t>66. Pemeliharaan Jalan Wotgalih - Wanarata</t>
  </si>
  <si>
    <t>Pembangunan Jembatan (Dinas Pekerjaan Umum dan Penataan Ruang)</t>
  </si>
  <si>
    <t>1. Pembangunan Jembatan Kali Kemiri Desa Kupu</t>
  </si>
  <si>
    <t>2. Konsultan Perencanaan Pembangunan Jembatan Kali Kemiri Desa Kupu</t>
  </si>
  <si>
    <t>3. Konsultan Pengawas Pembangunan Jembatan Kali Kemiri Desa Kupu</t>
  </si>
  <si>
    <t>4. Pembangunan Jembatan jalan Dukuh Siketi - Dukuh Glempang</t>
  </si>
  <si>
    <t>5. BOP</t>
  </si>
  <si>
    <t>6. Penanganan Darurat Bencana jembatan Kali Gamprik kecamatan Pagerbarang</t>
  </si>
  <si>
    <t>7. BOP Penanganan Darurat Bencana jembatan Kali Gamprik kecamatan Pagerbarang</t>
  </si>
  <si>
    <t>8. Penanganan Keadaan Darurat Bencana Longsornya Jembatan Sungai Sibiuk Desa Pesarean Kecamatan Pagerbarang Kabupaten Tegal (Dinas Pekerjaan Umum dan Penataan Ruang)</t>
  </si>
  <si>
    <t>9. Pembangunan Jembatan Jalan Ruas Purbasana - Kabukan</t>
  </si>
  <si>
    <t>Rehabilitasi Jembatan (Dinas Pekerjaan Umum dan Penataan Ruang)</t>
  </si>
  <si>
    <t>1. Perbaikan Jembatan Jalan Cucut Desa kalisapu</t>
  </si>
  <si>
    <t>2. Perbaikan jembatan penghubung Ruas Jalan Karangdawa - dukuh wanalaba</t>
  </si>
  <si>
    <t>3. Perbaikan Dua Jembatan Bekas Rel Ruas Jalan Pesarean â€“ Kedungsugih</t>
  </si>
  <si>
    <t>4. Rehabilitasi Jembatan Ruas Jalan Kertayasa - Kramat</t>
  </si>
  <si>
    <t>Pemeliharaan Rutin Jembatan (Dinas Pekerjaan Umum dan Penataan Ruang)</t>
  </si>
  <si>
    <t>1. Pemeliharaan Jembatan di Kecamatan Balapulang</t>
  </si>
  <si>
    <t>2. Pemeliharaan Jembatan di Kecamatan Suradadi</t>
  </si>
  <si>
    <t>3. Pemeliharaan Jembatan di Kecamatan Kramat</t>
  </si>
  <si>
    <t>4. Pemeliharaan Jembatan di Kecamatan Pagerbarang</t>
  </si>
  <si>
    <t>5. Pemeliharaan Jembatan di Kecamatan Jatinegara</t>
  </si>
  <si>
    <t>6. Pemeliharaan Jembatan di Kecamatan Bumijawa</t>
  </si>
  <si>
    <t>7. Pemeliharaan Jembatan di Kecamatan Bojong</t>
  </si>
  <si>
    <t>8. Pemeliharaan Jembatan di UPTD Wilayah I</t>
  </si>
  <si>
    <t>9. Pemeliharaan Jembatan di UPTD Wilayah II</t>
  </si>
  <si>
    <t>10. Pemeliharaan Jembatan di UPTD Wilayah III</t>
  </si>
  <si>
    <t>11. Pemeliharaan Jembatan di UPTD Wilayah IV</t>
  </si>
  <si>
    <t>12. Pemeliharaan Jembatan di Ruas Jalan Sindang - Dukuhwaru</t>
  </si>
  <si>
    <t>Pelaksanaan Pelatihan Tenaga Terampil Konstruksi (Dinas Pekerjaan Umum dan Penataan Ruang)</t>
  </si>
  <si>
    <t>1. Biaya Operasional</t>
  </si>
  <si>
    <t>Pemantauan dan Evaluasi Kegiatan Pelatihan Tenaga Terampil Konstruksi (Dinas Pekerjaan Umum dan Penataan Ruang)</t>
  </si>
  <si>
    <t>Penyediaan Perangkat Pendukung Layanan Informasi Jasa Konstruksi (Dinas Pekerjaan Umum dan Penataan Ruang)</t>
  </si>
  <si>
    <t>2. Belanja Jasa Apdate Aplikasi Jasa Konstruksi</t>
  </si>
  <si>
    <t>Penyusunan Data dan Informasi Profil Pekerjaan Konstruksi (Dinas Pekerjaan Umum dan Penataan Ruang)</t>
  </si>
  <si>
    <t>2. Penyusunan AHSP Tahap I ( Bangunan Gedung )</t>
  </si>
  <si>
    <t>3. Penyusunan AHSP Tahap I ( Jalan,Jembatan dan SDA )</t>
  </si>
  <si>
    <t>4. Penyusunan AHSP Tahap II ( Jalan,Jembatann dan SDA )</t>
  </si>
  <si>
    <t>5. Penyusunan AHSP Tahap III ( Bangunan Gedung )</t>
  </si>
  <si>
    <t>6. Penyusunan AHSP Tahap III ( Jalan,Jembatan dan SDA )</t>
  </si>
  <si>
    <t>7. Penyusunan AHSP Tahap IV ( Jalan,Jembatan dan SDA )</t>
  </si>
  <si>
    <t>Bimbingan Teknis tentang Tertib Usaha, Tertib Penyelenggaraan, dan Tertib Pemanfaatan Jasa Konstruksi (Dinas Pekerjaan Umum dan Penataan Ruang)</t>
  </si>
  <si>
    <t>Pengawasan dan Evaluasi Tertib Usaha, Tertib Penyelenggaraan, dan Tertib Pemanfaatan Jasa Konstruksi (Dinas Pekerjaan Umum dan Penataan Ruang)</t>
  </si>
  <si>
    <t>Pelaksanaan Persetujuan Substansi, Evaluasi, Konsultasi Evaluasi dan Penetapan RTRW Kabupaten/Kota (Dinas Pekerjaan Umum dan Penataan Ruang)</t>
  </si>
  <si>
    <t xml:space="preserve">1. Pembuatan Peta Rencana RDTR WP Slawi - Adiwerna </t>
  </si>
  <si>
    <t xml:space="preserve">2.  Pembuatan Peta Rencana RDTR WP Talang - Dukuhturi </t>
  </si>
  <si>
    <t xml:space="preserve">3. Penyusunan Materi Teknis (Buku Rencana) RDTR  WP Slawi - Adiwerna </t>
  </si>
  <si>
    <t xml:space="preserve">4. Penyusunan Materi Teknis (Buku Rencana) RDTR WP Talang - Dukuhturi </t>
  </si>
  <si>
    <t>Koordinasi dan Sinkronisasi Penyusunan RTRW Kabupaten/Kota (Dinas Pekerjaan Umum dan Penataan Ruang)</t>
  </si>
  <si>
    <t>Koordinasi dan Sinkronisasi Pemanfaatan Ruang untuk Investasi dan Pembangunan Daerah (Dinas Pekerjaan Umum dan Penataan Ruang)</t>
  </si>
  <si>
    <t>Sistem Informasi Penataan Ruang (Dinas Pekerjaan Umum dan Penataan Ruang)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</si>
</sst>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6" formatCode="0.000"/>
    <numFmt numFmtId="167" formatCode="_-* #,##0_-;\-* #,##0_-;_-* &quot;-&quot;??_-;_-@_-"/>
  </numFmts>
  <fonts count="16" x14ac:knownFonts="1">
    <font>
      <sz val="11"/>
      <color theme="1"/>
      <name val="Calibri"/>
      <family val="2"/>
      <scheme val="minor"/>
    </font>
    <font>
      <sz val="11"/>
      <color rgb="FFFF0000"/>
      <name val="Calibri"/>
      <family val="2"/>
      <scheme val="minor"/>
    </font>
    <font>
      <b/>
      <sz val="14"/>
      <name val="Calibri"/>
      <family val="2"/>
      <scheme val="minor"/>
    </font>
    <font>
      <sz val="11"/>
      <name val="Calibri"/>
      <family val="2"/>
      <scheme val="minor"/>
    </font>
    <font>
      <sz val="9"/>
      <name val="Calibri"/>
      <family val="2"/>
      <scheme val="minor"/>
    </font>
    <font>
      <b/>
      <sz val="9"/>
      <name val="Arial Narrow"/>
      <family val="2"/>
    </font>
    <font>
      <sz val="9"/>
      <name val="Arial Narrow"/>
      <family val="2"/>
    </font>
    <font>
      <sz val="11"/>
      <name val="Arial Narrow"/>
      <family val="2"/>
    </font>
    <font>
      <sz val="11"/>
      <color rgb="FF000000"/>
      <name val="Calibri"/>
      <family val="2"/>
      <scheme val="minor"/>
    </font>
    <font>
      <b/>
      <sz val="9"/>
      <name val="Calibri"/>
      <family val="2"/>
      <scheme val="minor"/>
    </font>
    <font>
      <b/>
      <sz val="11"/>
      <name val="Calibri"/>
      <family val="2"/>
      <scheme val="minor"/>
    </font>
    <font>
      <b/>
      <u/>
      <sz val="11"/>
      <name val="Calibri"/>
      <family val="2"/>
      <scheme val="minor"/>
    </font>
    <font>
      <sz val="9"/>
      <color theme="0"/>
      <name val="Calibri"/>
      <family val="2"/>
      <scheme val="minor"/>
    </font>
    <font>
      <sz val="9"/>
      <name val="Times New Roman"/>
      <family val="1"/>
    </font>
    <font>
      <sz val="9"/>
      <name val="Calibri"/>
      <family val="2"/>
    </font>
    <font>
      <sz val="11"/>
      <color theme="1"/>
      <name val="Calibri"/>
      <family val="2"/>
      <charset val="1"/>
      <scheme val="minor"/>
    </font>
  </fonts>
  <fills count="7">
    <fill>
      <patternFill patternType="none"/>
    </fill>
    <fill>
      <patternFill patternType="gray125"/>
    </fill>
    <fill>
      <patternFill patternType="solid">
        <fgColor rgb="FFF0F0F0"/>
        <bgColor indexed="64"/>
      </patternFill>
    </fill>
    <fill>
      <patternFill patternType="solid">
        <fgColor rgb="FF99CC00"/>
        <bgColor indexed="64"/>
      </patternFill>
    </fill>
    <fill>
      <patternFill patternType="solid">
        <fgColor rgb="FFFFCC99"/>
        <bgColor indexed="64"/>
      </patternFill>
    </fill>
    <fill>
      <patternFill patternType="solid">
        <fgColor rgb="FFFFFFCC"/>
        <bgColor indexed="64"/>
      </patternFill>
    </fill>
    <fill>
      <patternFill patternType="solid">
        <fgColor theme="0"/>
        <bgColor indexed="64"/>
      </patternFill>
    </fill>
  </fills>
  <borders count="14">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top style="medium">
        <color rgb="FF000000"/>
      </top>
      <bottom style="medium">
        <color indexed="64"/>
      </bottom>
      <diagonal/>
    </border>
    <border>
      <left/>
      <right style="thin">
        <color indexed="64"/>
      </right>
      <top/>
      <bottom style="thin">
        <color indexed="64"/>
      </bottom>
      <diagonal/>
    </border>
    <border>
      <left/>
      <right style="thin">
        <color indexed="64"/>
      </right>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41" fontId="15" fillId="0" borderId="0" applyFont="0" applyFill="0" applyBorder="0" applyAlignment="0" applyProtection="0"/>
  </cellStyleXfs>
  <cellXfs count="144">
    <xf numFmtId="0" fontId="0" fillId="0" borderId="0" xfId="0"/>
    <xf numFmtId="0" fontId="2" fillId="0" borderId="0" xfId="0" applyFont="1" applyAlignment="1">
      <alignment horizontal="center" vertical="top" wrapText="1"/>
    </xf>
    <xf numFmtId="0" fontId="3" fillId="0" borderId="0" xfId="0" applyFont="1" applyAlignment="1">
      <alignment vertical="top"/>
    </xf>
    <xf numFmtId="0" fontId="3" fillId="0" borderId="0" xfId="0" applyFont="1" applyAlignment="1">
      <alignment vertical="top"/>
    </xf>
    <xf numFmtId="3" fontId="3" fillId="0" borderId="0" xfId="0" applyNumberFormat="1" applyFont="1" applyAlignment="1">
      <alignment vertical="top"/>
    </xf>
    <xf numFmtId="0" fontId="3" fillId="0" borderId="0" xfId="0" applyFont="1" applyAlignment="1">
      <alignment horizontal="center" vertical="top"/>
    </xf>
    <xf numFmtId="3" fontId="3" fillId="0" borderId="0" xfId="0" applyNumberFormat="1" applyFont="1" applyAlignment="1">
      <alignment vertical="top" wrapText="1"/>
    </xf>
    <xf numFmtId="0" fontId="3" fillId="0" borderId="0" xfId="0" applyFont="1" applyAlignment="1">
      <alignment horizontal="left" vertical="center"/>
    </xf>
    <xf numFmtId="3" fontId="4" fillId="0" borderId="0" xfId="0" applyNumberFormat="1" applyFont="1" applyAlignment="1">
      <alignment horizontal="right" vertical="top"/>
    </xf>
    <xf numFmtId="3" fontId="3" fillId="0" borderId="0" xfId="0" applyNumberFormat="1" applyFont="1"/>
    <xf numFmtId="2" fontId="3" fillId="0" borderId="0" xfId="0" applyNumberFormat="1" applyFont="1" applyAlignment="1">
      <alignment horizontal="center" vertical="top"/>
    </xf>
    <xf numFmtId="0" fontId="3" fillId="0" borderId="0" xfId="0" applyFont="1" applyAlignment="1">
      <alignmen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7" fillId="0" borderId="0" xfId="0" applyNumberFormat="1"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5" fillId="2" borderId="4" xfId="0"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2" fontId="5" fillId="2" borderId="5" xfId="0" applyNumberFormat="1" applyFont="1" applyFill="1" applyBorder="1" applyAlignment="1">
      <alignment horizontal="center" vertical="center" wrapText="1"/>
    </xf>
    <xf numFmtId="0" fontId="5" fillId="3" borderId="5" xfId="0" applyFont="1" applyFill="1" applyBorder="1" applyAlignment="1">
      <alignment horizontal="left" vertical="top" wrapText="1"/>
    </xf>
    <xf numFmtId="0" fontId="5" fillId="3" borderId="5" xfId="0" applyFont="1" applyFill="1" applyBorder="1" applyAlignment="1">
      <alignment vertical="top" wrapText="1"/>
    </xf>
    <xf numFmtId="3" fontId="5" fillId="3" borderId="5" xfId="0" applyNumberFormat="1" applyFont="1" applyFill="1" applyBorder="1" applyAlignment="1">
      <alignment vertical="top" wrapText="1"/>
    </xf>
    <xf numFmtId="3" fontId="5" fillId="3" borderId="5" xfId="0" applyNumberFormat="1" applyFont="1" applyFill="1" applyBorder="1" applyAlignment="1">
      <alignment horizontal="right" vertical="top" wrapText="1"/>
    </xf>
    <xf numFmtId="2" fontId="5" fillId="3" borderId="5" xfId="0" applyNumberFormat="1" applyFont="1" applyFill="1" applyBorder="1" applyAlignment="1">
      <alignment horizontal="center" vertical="top" wrapText="1"/>
    </xf>
    <xf numFmtId="0" fontId="6" fillId="0" borderId="0" xfId="0" applyFont="1" applyAlignment="1">
      <alignment vertical="top"/>
    </xf>
    <xf numFmtId="3" fontId="6" fillId="0" borderId="0" xfId="0" applyNumberFormat="1" applyFont="1" applyAlignment="1">
      <alignment vertical="top"/>
    </xf>
    <xf numFmtId="3" fontId="7" fillId="0" borderId="0" xfId="0" applyNumberFormat="1" applyFont="1" applyAlignment="1">
      <alignment vertical="top"/>
    </xf>
    <xf numFmtId="0" fontId="7" fillId="0" borderId="0" xfId="0" applyFont="1" applyAlignment="1">
      <alignment vertical="top"/>
    </xf>
    <xf numFmtId="0" fontId="5" fillId="4" borderId="5" xfId="0" applyFont="1" applyFill="1" applyBorder="1" applyAlignment="1">
      <alignment horizontal="left" vertical="top" wrapText="1"/>
    </xf>
    <xf numFmtId="3" fontId="5" fillId="4" borderId="5" xfId="0" applyNumberFormat="1" applyFont="1" applyFill="1" applyBorder="1" applyAlignment="1">
      <alignment horizontal="right" vertical="top" wrapText="1"/>
    </xf>
    <xf numFmtId="0" fontId="6" fillId="4" borderId="5" xfId="0" applyFont="1" applyFill="1" applyBorder="1" applyAlignment="1">
      <alignment horizontal="left" vertical="top" wrapText="1"/>
    </xf>
    <xf numFmtId="3" fontId="6" fillId="4" borderId="5" xfId="0" applyNumberFormat="1" applyFont="1" applyFill="1" applyBorder="1" applyAlignment="1">
      <alignment horizontal="right" vertical="top" wrapText="1"/>
    </xf>
    <xf numFmtId="2" fontId="5" fillId="4" borderId="5" xfId="0" applyNumberFormat="1" applyFont="1" applyFill="1" applyBorder="1" applyAlignment="1">
      <alignment horizontal="center" vertical="top" wrapText="1"/>
    </xf>
    <xf numFmtId="0" fontId="5" fillId="5" borderId="5" xfId="0" applyFont="1" applyFill="1" applyBorder="1" applyAlignment="1">
      <alignment horizontal="left" vertical="top" wrapText="1"/>
    </xf>
    <xf numFmtId="3" fontId="5" fillId="5" borderId="5" xfId="0" applyNumberFormat="1" applyFont="1" applyFill="1" applyBorder="1" applyAlignment="1">
      <alignment horizontal="right" vertical="top" wrapText="1"/>
    </xf>
    <xf numFmtId="0" fontId="6" fillId="5" borderId="5" xfId="0" applyFont="1" applyFill="1" applyBorder="1" applyAlignment="1">
      <alignment horizontal="left" vertical="top" wrapText="1"/>
    </xf>
    <xf numFmtId="3" fontId="6" fillId="5" borderId="5" xfId="0" applyNumberFormat="1" applyFont="1" applyFill="1" applyBorder="1" applyAlignment="1">
      <alignment horizontal="right" vertical="top" wrapText="1"/>
    </xf>
    <xf numFmtId="2" fontId="6" fillId="5" borderId="5" xfId="0" applyNumberFormat="1" applyFont="1" applyFill="1" applyBorder="1" applyAlignment="1">
      <alignment horizontal="center" vertical="top" wrapText="1"/>
    </xf>
    <xf numFmtId="0" fontId="6" fillId="0" borderId="5" xfId="0" applyFont="1" applyBorder="1" applyAlignment="1">
      <alignment horizontal="left" vertical="top" wrapText="1"/>
    </xf>
    <xf numFmtId="3" fontId="6" fillId="0" borderId="5" xfId="0" applyNumberFormat="1" applyFont="1" applyBorder="1" applyAlignment="1">
      <alignment horizontal="right" vertical="top" wrapText="1"/>
    </xf>
    <xf numFmtId="2" fontId="6" fillId="0" borderId="5" xfId="0" applyNumberFormat="1" applyFont="1" applyBorder="1" applyAlignment="1">
      <alignment horizontal="center" vertical="top" wrapText="1"/>
    </xf>
    <xf numFmtId="2" fontId="5" fillId="5" borderId="5" xfId="0" applyNumberFormat="1" applyFont="1" applyFill="1" applyBorder="1" applyAlignment="1">
      <alignment horizontal="center" vertical="top" wrapText="1"/>
    </xf>
    <xf numFmtId="3" fontId="6" fillId="0" borderId="5" xfId="0" applyNumberFormat="1" applyFont="1" applyBorder="1" applyAlignment="1">
      <alignment vertical="top"/>
    </xf>
    <xf numFmtId="0" fontId="6" fillId="0" borderId="5" xfId="0" applyFont="1" applyBorder="1" applyAlignment="1">
      <alignment horizontal="right" vertical="top" wrapText="1"/>
    </xf>
    <xf numFmtId="0" fontId="3" fillId="0" borderId="0" xfId="0" applyFont="1" applyAlignment="1">
      <alignment vertical="center"/>
    </xf>
    <xf numFmtId="166" fontId="6" fillId="0" borderId="5" xfId="0" applyNumberFormat="1" applyFont="1" applyBorder="1" applyAlignment="1">
      <alignment horizontal="center" vertical="top" wrapText="1"/>
    </xf>
    <xf numFmtId="0" fontId="3" fillId="0" borderId="0" xfId="0" applyFont="1"/>
    <xf numFmtId="3" fontId="6" fillId="0" borderId="5" xfId="0" applyNumberFormat="1" applyFont="1" applyBorder="1" applyAlignment="1">
      <alignment horizontal="right" vertical="top"/>
    </xf>
    <xf numFmtId="3" fontId="6" fillId="0" borderId="5" xfId="0" quotePrefix="1" applyNumberFormat="1" applyFont="1" applyBorder="1" applyAlignment="1">
      <alignment horizontal="right" vertical="top"/>
    </xf>
    <xf numFmtId="3" fontId="6" fillId="0" borderId="1" xfId="0" applyNumberFormat="1" applyFont="1" applyBorder="1" applyAlignment="1">
      <alignment horizontal="right" vertical="top"/>
    </xf>
    <xf numFmtId="3" fontId="6" fillId="0" borderId="1" xfId="0" applyNumberFormat="1" applyFont="1" applyBorder="1" applyAlignment="1">
      <alignment horizontal="right" vertical="top" wrapText="1"/>
    </xf>
    <xf numFmtId="0" fontId="6" fillId="0" borderId="2" xfId="0" applyFont="1" applyBorder="1" applyAlignment="1">
      <alignment horizontal="left" vertical="top" wrapText="1"/>
    </xf>
    <xf numFmtId="3" fontId="6" fillId="0" borderId="7" xfId="0" applyNumberFormat="1" applyFont="1" applyBorder="1" applyAlignment="1">
      <alignment vertical="top" wrapText="1"/>
    </xf>
    <xf numFmtId="3" fontId="6" fillId="0" borderId="8" xfId="0" applyNumberFormat="1" applyFont="1" applyBorder="1" applyAlignment="1">
      <alignment horizontal="right" vertical="top" wrapText="1"/>
    </xf>
    <xf numFmtId="3" fontId="6" fillId="0" borderId="9" xfId="0" applyNumberFormat="1" applyFont="1" applyBorder="1" applyAlignment="1">
      <alignment horizontal="right" vertical="top" wrapText="1"/>
    </xf>
    <xf numFmtId="3" fontId="6" fillId="0" borderId="4" xfId="0" applyNumberFormat="1" applyFont="1" applyBorder="1" applyAlignment="1">
      <alignment horizontal="right" vertical="top" wrapText="1"/>
    </xf>
    <xf numFmtId="0" fontId="4" fillId="0" borderId="0" xfId="0" applyFont="1" applyAlignment="1">
      <alignment vertical="top"/>
    </xf>
    <xf numFmtId="3" fontId="6" fillId="6" borderId="10" xfId="0" applyNumberFormat="1" applyFont="1" applyFill="1" applyBorder="1" applyAlignment="1">
      <alignment horizontal="right" vertical="top" wrapText="1"/>
    </xf>
    <xf numFmtId="3" fontId="6" fillId="0" borderId="1" xfId="0" applyNumberFormat="1" applyFont="1" applyBorder="1" applyAlignment="1">
      <alignment horizontal="right" vertical="top" wrapText="1"/>
    </xf>
    <xf numFmtId="3" fontId="6" fillId="0" borderId="1" xfId="0" applyNumberFormat="1" applyFont="1" applyBorder="1" applyAlignment="1">
      <alignment vertical="top" wrapText="1"/>
    </xf>
    <xf numFmtId="3" fontId="6" fillId="0" borderId="4" xfId="0" applyNumberFormat="1" applyFont="1" applyBorder="1" applyAlignment="1">
      <alignment horizontal="right" vertical="top" wrapText="1"/>
    </xf>
    <xf numFmtId="3" fontId="6" fillId="0" borderId="1" xfId="0" applyNumberFormat="1" applyFont="1" applyBorder="1" applyAlignment="1">
      <alignment horizontal="center" vertical="top" wrapText="1"/>
    </xf>
    <xf numFmtId="3" fontId="6" fillId="0" borderId="4"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3" fontId="6" fillId="0" borderId="3" xfId="0" applyNumberFormat="1" applyFont="1" applyBorder="1" applyAlignment="1">
      <alignment vertical="top" wrapText="1"/>
    </xf>
    <xf numFmtId="3" fontId="6" fillId="0" borderId="2" xfId="0" applyNumberFormat="1" applyFont="1" applyBorder="1" applyAlignment="1">
      <alignment horizontal="right" vertical="top" wrapText="1"/>
    </xf>
    <xf numFmtId="2" fontId="6" fillId="0" borderId="6" xfId="0" applyNumberFormat="1" applyFont="1" applyBorder="1" applyAlignment="1">
      <alignment horizontal="center" vertical="top" wrapText="1"/>
    </xf>
    <xf numFmtId="2" fontId="6" fillId="0" borderId="4" xfId="0" applyNumberFormat="1" applyFont="1" applyBorder="1" applyAlignment="1">
      <alignment horizontal="center" vertical="top" wrapText="1"/>
    </xf>
    <xf numFmtId="3" fontId="6" fillId="6" borderId="10" xfId="1" applyNumberFormat="1" applyFont="1" applyFill="1" applyBorder="1" applyAlignment="1">
      <alignment horizontal="right" vertical="top" wrapText="1"/>
    </xf>
    <xf numFmtId="3" fontId="6" fillId="6" borderId="11" xfId="1" applyNumberFormat="1" applyFont="1" applyFill="1" applyBorder="1" applyAlignment="1">
      <alignment horizontal="right" vertical="top" wrapText="1"/>
    </xf>
    <xf numFmtId="3" fontId="6" fillId="6" borderId="5" xfId="1" applyNumberFormat="1" applyFont="1" applyFill="1" applyBorder="1" applyAlignment="1">
      <alignment horizontal="right" vertical="top" wrapText="1"/>
    </xf>
    <xf numFmtId="0" fontId="1" fillId="0" borderId="0" xfId="0" applyFont="1" applyAlignment="1">
      <alignment vertical="top"/>
    </xf>
    <xf numFmtId="2" fontId="6" fillId="4" borderId="5" xfId="0" applyNumberFormat="1" applyFont="1" applyFill="1" applyBorder="1" applyAlignment="1">
      <alignment horizontal="center" vertical="top" wrapText="1"/>
    </xf>
    <xf numFmtId="3" fontId="6" fillId="0" borderId="5" xfId="0" applyNumberFormat="1" applyFont="1" applyBorder="1" applyAlignment="1">
      <alignment horizontal="right" wrapText="1"/>
    </xf>
    <xf numFmtId="0" fontId="3" fillId="0" borderId="0" xfId="0" applyFont="1" applyAlignment="1">
      <alignment horizontal="center" vertical="top" wrapText="1"/>
    </xf>
    <xf numFmtId="0" fontId="10" fillId="0" borderId="0" xfId="0" applyFont="1" applyAlignment="1">
      <alignment horizontal="center" vertical="top" wrapText="1"/>
    </xf>
    <xf numFmtId="0" fontId="11" fillId="0" borderId="0" xfId="0" applyFont="1" applyAlignment="1">
      <alignment horizontal="center" vertical="top" wrapText="1"/>
    </xf>
    <xf numFmtId="3" fontId="4" fillId="0" borderId="0" xfId="0" applyNumberFormat="1" applyFont="1" applyAlignment="1">
      <alignment vertical="top"/>
    </xf>
    <xf numFmtId="0" fontId="4" fillId="0" borderId="0" xfId="0" applyFont="1" applyAlignment="1">
      <alignment horizontal="center" vertical="top"/>
    </xf>
    <xf numFmtId="3" fontId="4" fillId="0" borderId="12" xfId="0" applyNumberFormat="1" applyFont="1" applyBorder="1" applyAlignment="1">
      <alignment horizontal="right" vertical="top" wrapText="1"/>
    </xf>
    <xf numFmtId="3" fontId="4" fillId="0" borderId="12" xfId="0" applyNumberFormat="1" applyFont="1" applyBorder="1" applyAlignment="1">
      <alignment vertical="top"/>
    </xf>
    <xf numFmtId="0" fontId="4" fillId="0" borderId="12" xfId="0" applyFont="1" applyBorder="1" applyAlignment="1">
      <alignment vertical="top"/>
    </xf>
    <xf numFmtId="3" fontId="4" fillId="0" borderId="12" xfId="0" applyNumberFormat="1" applyFont="1" applyBorder="1" applyAlignment="1">
      <alignment horizontal="right" vertical="top"/>
    </xf>
    <xf numFmtId="3" fontId="12" fillId="0" borderId="12" xfId="0" applyNumberFormat="1" applyFont="1" applyBorder="1" applyAlignment="1">
      <alignment vertical="top"/>
    </xf>
    <xf numFmtId="0" fontId="4" fillId="0" borderId="12" xfId="0" applyFont="1" applyBorder="1" applyAlignment="1">
      <alignment horizontal="center" vertical="top"/>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3" fontId="4" fillId="0" borderId="0" xfId="0" applyNumberFormat="1" applyFont="1" applyAlignment="1">
      <alignment horizontal="center" vertical="center"/>
    </xf>
    <xf numFmtId="0" fontId="4" fillId="0" borderId="0" xfId="0" applyFont="1" applyAlignment="1">
      <alignment horizontal="center" vertical="center"/>
    </xf>
    <xf numFmtId="0" fontId="9" fillId="3" borderId="5" xfId="0" applyFont="1" applyFill="1" applyBorder="1" applyAlignment="1">
      <alignment vertical="top" wrapText="1"/>
    </xf>
    <xf numFmtId="3" fontId="9" fillId="3" borderId="5" xfId="0" applyNumberFormat="1" applyFont="1" applyFill="1" applyBorder="1" applyAlignment="1">
      <alignment vertical="top" wrapText="1"/>
    </xf>
    <xf numFmtId="3" fontId="9" fillId="3" borderId="5" xfId="0" applyNumberFormat="1" applyFont="1" applyFill="1" applyBorder="1" applyAlignment="1">
      <alignment horizontal="right" vertical="top" wrapText="1"/>
    </xf>
    <xf numFmtId="2" fontId="9" fillId="3" borderId="5" xfId="0" applyNumberFormat="1" applyFont="1" applyFill="1" applyBorder="1" applyAlignment="1">
      <alignment horizontal="center" vertical="top" wrapText="1"/>
    </xf>
    <xf numFmtId="0" fontId="9" fillId="4" borderId="5" xfId="0" applyFont="1" applyFill="1" applyBorder="1" applyAlignment="1">
      <alignment horizontal="left" vertical="top" wrapText="1"/>
    </xf>
    <xf numFmtId="3" fontId="9" fillId="4" borderId="5" xfId="0" applyNumberFormat="1" applyFont="1" applyFill="1" applyBorder="1" applyAlignment="1">
      <alignment horizontal="right" vertical="top" wrapText="1"/>
    </xf>
    <xf numFmtId="0" fontId="4" fillId="4" borderId="5" xfId="0" applyFont="1" applyFill="1" applyBorder="1" applyAlignment="1">
      <alignment horizontal="left" vertical="top" wrapText="1"/>
    </xf>
    <xf numFmtId="3" fontId="4" fillId="4" borderId="5" xfId="0" applyNumberFormat="1" applyFont="1" applyFill="1" applyBorder="1" applyAlignment="1">
      <alignment horizontal="right" vertical="top" wrapText="1"/>
    </xf>
    <xf numFmtId="2" fontId="9" fillId="4" borderId="5" xfId="0" applyNumberFormat="1" applyFont="1" applyFill="1" applyBorder="1" applyAlignment="1">
      <alignment horizontal="center" vertical="top" wrapText="1"/>
    </xf>
    <xf numFmtId="0" fontId="9" fillId="5" borderId="5" xfId="0" applyFont="1" applyFill="1" applyBorder="1" applyAlignment="1">
      <alignment horizontal="left" vertical="top" wrapText="1"/>
    </xf>
    <xf numFmtId="3" fontId="9" fillId="5" borderId="5" xfId="0" applyNumberFormat="1" applyFont="1" applyFill="1" applyBorder="1" applyAlignment="1">
      <alignment horizontal="right" vertical="top" wrapText="1"/>
    </xf>
    <xf numFmtId="0" fontId="4" fillId="5" borderId="5" xfId="0" applyFont="1" applyFill="1" applyBorder="1" applyAlignment="1">
      <alignment horizontal="left" vertical="top" wrapText="1"/>
    </xf>
    <xf numFmtId="3" fontId="4" fillId="5" borderId="5" xfId="0" applyNumberFormat="1" applyFont="1" applyFill="1" applyBorder="1" applyAlignment="1">
      <alignment horizontal="right" vertical="top" wrapText="1"/>
    </xf>
    <xf numFmtId="2" fontId="9" fillId="5" borderId="5" xfId="0" applyNumberFormat="1" applyFont="1" applyFill="1" applyBorder="1" applyAlignment="1">
      <alignment horizontal="center" vertical="top" wrapText="1"/>
    </xf>
    <xf numFmtId="0" fontId="4" fillId="0" borderId="5" xfId="0" applyFont="1" applyBorder="1" applyAlignment="1">
      <alignment horizontal="left" vertical="top" wrapText="1"/>
    </xf>
    <xf numFmtId="3" fontId="4" fillId="0" borderId="5" xfId="0" applyNumberFormat="1" applyFont="1" applyBorder="1" applyAlignment="1">
      <alignment horizontal="right" vertical="top" wrapText="1"/>
    </xf>
    <xf numFmtId="2" fontId="4" fillId="0" borderId="5" xfId="0" applyNumberFormat="1" applyFont="1" applyBorder="1" applyAlignment="1">
      <alignment horizontal="center" vertical="top" wrapText="1"/>
    </xf>
    <xf numFmtId="2" fontId="4" fillId="5" borderId="5" xfId="0" applyNumberFormat="1" applyFont="1" applyFill="1" applyBorder="1" applyAlignment="1">
      <alignment horizontal="center" vertical="top" wrapText="1"/>
    </xf>
    <xf numFmtId="0" fontId="4" fillId="6" borderId="5" xfId="0" applyFont="1" applyFill="1" applyBorder="1" applyAlignment="1">
      <alignment horizontal="left" vertical="top" wrapText="1"/>
    </xf>
    <xf numFmtId="3" fontId="4" fillId="6" borderId="5" xfId="0" applyNumberFormat="1" applyFont="1" applyFill="1" applyBorder="1" applyAlignment="1">
      <alignment horizontal="right" vertical="top" wrapText="1"/>
    </xf>
    <xf numFmtId="2" fontId="4" fillId="6" borderId="5" xfId="0" applyNumberFormat="1" applyFont="1" applyFill="1" applyBorder="1" applyAlignment="1">
      <alignment horizontal="center" vertical="top" wrapText="1"/>
    </xf>
    <xf numFmtId="3" fontId="4" fillId="6" borderId="0" xfId="0" applyNumberFormat="1" applyFont="1" applyFill="1" applyAlignment="1">
      <alignment vertical="top"/>
    </xf>
    <xf numFmtId="0" fontId="4" fillId="6" borderId="0" xfId="0" applyFont="1" applyFill="1" applyAlignment="1">
      <alignment vertical="top"/>
    </xf>
    <xf numFmtId="0" fontId="4" fillId="0" borderId="5" xfId="0" applyFont="1" applyBorder="1" applyAlignment="1">
      <alignment horizontal="right" vertical="top" wrapText="1"/>
    </xf>
    <xf numFmtId="0" fontId="4" fillId="0" borderId="5" xfId="0" applyFont="1" applyBorder="1" applyAlignment="1">
      <alignment horizontal="left" vertical="center" wrapText="1"/>
    </xf>
    <xf numFmtId="3" fontId="4" fillId="0" borderId="5" xfId="0" applyNumberFormat="1" applyFont="1" applyBorder="1" applyAlignment="1">
      <alignment horizontal="right" vertical="center" wrapText="1"/>
    </xf>
    <xf numFmtId="0" fontId="4" fillId="0" borderId="5" xfId="0" applyFont="1" applyBorder="1" applyAlignment="1">
      <alignment horizontal="right" vertical="center" wrapText="1"/>
    </xf>
    <xf numFmtId="2" fontId="4" fillId="0" borderId="5" xfId="0" applyNumberFormat="1" applyFont="1" applyBorder="1" applyAlignment="1">
      <alignment horizontal="center" vertical="center" wrapText="1"/>
    </xf>
    <xf numFmtId="2" fontId="4" fillId="4" borderId="5" xfId="0" applyNumberFormat="1" applyFont="1" applyFill="1" applyBorder="1" applyAlignment="1">
      <alignment horizontal="center" vertical="top" wrapText="1"/>
    </xf>
    <xf numFmtId="3" fontId="13" fillId="0" borderId="5" xfId="0" applyNumberFormat="1" applyFont="1" applyBorder="1" applyAlignment="1">
      <alignment horizontal="right" vertical="center" wrapText="1"/>
    </xf>
    <xf numFmtId="4" fontId="9" fillId="3" borderId="5" xfId="0" applyNumberFormat="1" applyFont="1" applyFill="1" applyBorder="1" applyAlignment="1">
      <alignment horizontal="center" vertical="top" wrapText="1"/>
    </xf>
    <xf numFmtId="4" fontId="9" fillId="4" borderId="5" xfId="0" applyNumberFormat="1" applyFont="1" applyFill="1" applyBorder="1" applyAlignment="1">
      <alignment horizontal="center" vertical="top" wrapText="1"/>
    </xf>
    <xf numFmtId="3" fontId="4" fillId="0" borderId="5" xfId="0" applyNumberFormat="1" applyFont="1" applyBorder="1" applyAlignment="1">
      <alignment horizontal="right" wrapText="1"/>
    </xf>
    <xf numFmtId="3" fontId="4"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horizontal="left" vertical="top" wrapText="1"/>
    </xf>
    <xf numFmtId="3" fontId="4" fillId="0" borderId="5" xfId="2" applyNumberFormat="1" applyFont="1" applyFill="1" applyBorder="1" applyAlignment="1">
      <alignment horizontal="center" vertical="top" wrapText="1"/>
    </xf>
    <xf numFmtId="3" fontId="4" fillId="0" borderId="13" xfId="2" applyNumberFormat="1" applyFont="1" applyFill="1" applyBorder="1" applyAlignment="1">
      <alignment horizontal="right" vertical="top" wrapText="1"/>
    </xf>
    <xf numFmtId="3" fontId="4" fillId="0" borderId="5" xfId="2" applyNumberFormat="1" applyFont="1" applyFill="1" applyBorder="1" applyAlignment="1">
      <alignment horizontal="right" vertical="top" wrapText="1"/>
    </xf>
    <xf numFmtId="0" fontId="4" fillId="0" borderId="5" xfId="0" applyFont="1" applyBorder="1" applyAlignment="1">
      <alignment horizontal="left" wrapText="1"/>
    </xf>
    <xf numFmtId="3" fontId="4" fillId="0" borderId="5" xfId="0" applyNumberFormat="1" applyFont="1" applyBorder="1" applyAlignment="1">
      <alignment vertical="center"/>
    </xf>
    <xf numFmtId="3" fontId="4" fillId="0" borderId="5" xfId="0" quotePrefix="1" applyNumberFormat="1" applyFont="1" applyBorder="1" applyAlignment="1">
      <alignment horizontal="right" vertical="top"/>
    </xf>
    <xf numFmtId="3" fontId="4" fillId="6" borderId="5" xfId="0" applyNumberFormat="1" applyFont="1" applyFill="1" applyBorder="1" applyAlignment="1">
      <alignment vertical="center"/>
    </xf>
    <xf numFmtId="3" fontId="4" fillId="0" borderId="5" xfId="0" applyNumberFormat="1" applyFont="1" applyBorder="1" applyAlignment="1">
      <alignment horizontal="right" vertical="top"/>
    </xf>
    <xf numFmtId="0" fontId="4" fillId="0" borderId="5" xfId="0" applyFont="1" applyBorder="1" applyAlignment="1">
      <alignment horizontal="right" wrapText="1"/>
    </xf>
    <xf numFmtId="167" fontId="4" fillId="0" borderId="5" xfId="0" applyNumberFormat="1" applyFont="1" applyBorder="1" applyAlignment="1">
      <alignment horizontal="right" vertical="top" wrapText="1"/>
    </xf>
    <xf numFmtId="0" fontId="5" fillId="2" borderId="3" xfId="0" applyFont="1" applyFill="1" applyBorder="1" applyAlignment="1">
      <alignment horizontal="center" vertical="center" wrapText="1"/>
    </xf>
  </cellXfs>
  <cellStyles count="3">
    <cellStyle name="Comma [0] 3" xfId="2" xr:uid="{669E3B17-4B82-4BC1-B349-3521A9EB739F}"/>
    <cellStyle name="Normal" xfId="0" builtinId="0"/>
    <cellStyle name="Normal 2" xfId="1" xr:uid="{24A1982F-8F3C-4B2A-A75D-4AFE213E1117}"/>
  </cellStyles>
  <dxfs count="27">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
      <fill>
        <patternFill patternType="solid">
          <fgColor rgb="FFB4C6E7"/>
          <bgColor rgb="FFB4C6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952500</xdr:colOff>
      <xdr:row>922</xdr:row>
      <xdr:rowOff>138038</xdr:rowOff>
    </xdr:from>
    <xdr:to>
      <xdr:col>7</xdr:col>
      <xdr:colOff>470647</xdr:colOff>
      <xdr:row>934</xdr:row>
      <xdr:rowOff>33617</xdr:rowOff>
    </xdr:to>
    <xdr:sp macro="" textlink="">
      <xdr:nvSpPr>
        <xdr:cNvPr id="2" name="TextBox 1">
          <a:extLst>
            <a:ext uri="{FF2B5EF4-FFF2-40B4-BE49-F238E27FC236}">
              <a16:creationId xmlns:a16="http://schemas.microsoft.com/office/drawing/2014/main" id="{CE5474D7-DC50-4639-BB1E-8BDF32759ECE}"/>
            </a:ext>
          </a:extLst>
        </xdr:cNvPr>
        <xdr:cNvSpPr txBox="1"/>
      </xdr:nvSpPr>
      <xdr:spPr>
        <a:xfrm>
          <a:off x="6107206" y="223874685"/>
          <a:ext cx="3821206" cy="2181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400">
              <a:solidFill>
                <a:sysClr val="windowText" lastClr="000000"/>
              </a:solidFill>
            </a:rPr>
            <a:t>Slawi,         Januari 2025</a:t>
          </a:r>
        </a:p>
        <a:p>
          <a:pPr algn="ctr"/>
          <a:r>
            <a:rPr lang="en-ID" sz="1400">
              <a:solidFill>
                <a:sysClr val="windowText" lastClr="000000"/>
              </a:solidFill>
            </a:rPr>
            <a:t>Kepala Dinas Pekerjaan Umum dan</a:t>
          </a:r>
        </a:p>
        <a:p>
          <a:pPr algn="ctr"/>
          <a:r>
            <a:rPr lang="en-ID" sz="1400">
              <a:solidFill>
                <a:sysClr val="windowText" lastClr="000000"/>
              </a:solidFill>
            </a:rPr>
            <a:t>Penataan Ruang Kabupaten Tegal</a:t>
          </a:r>
        </a:p>
        <a:p>
          <a:pPr algn="ctr"/>
          <a:endParaRPr lang="en-ID" sz="1400">
            <a:solidFill>
              <a:sysClr val="windowText" lastClr="000000"/>
            </a:solidFill>
          </a:endParaRPr>
        </a:p>
        <a:p>
          <a:pPr algn="ctr"/>
          <a:endParaRPr lang="en-ID" sz="1400">
            <a:solidFill>
              <a:sysClr val="windowText" lastClr="000000"/>
            </a:solidFill>
          </a:endParaRPr>
        </a:p>
        <a:p>
          <a:pPr algn="ctr"/>
          <a:endParaRPr lang="en-ID" sz="1400">
            <a:solidFill>
              <a:sysClr val="windowText" lastClr="000000"/>
            </a:solidFill>
          </a:endParaRPr>
        </a:p>
        <a:p>
          <a:pPr algn="ctr"/>
          <a:r>
            <a:rPr lang="en-ID" sz="1400" b="1" u="sng">
              <a:solidFill>
                <a:sysClr val="windowText" lastClr="000000"/>
              </a:solidFill>
            </a:rPr>
            <a:t>TEGUH DWIJANTO R. ST, MT, MA</a:t>
          </a:r>
        </a:p>
        <a:p>
          <a:pPr algn="ctr"/>
          <a:r>
            <a:rPr lang="en-ID" sz="1400">
              <a:solidFill>
                <a:sysClr val="windowText" lastClr="000000"/>
              </a:solidFill>
            </a:rPr>
            <a:t>Pembina Utama</a:t>
          </a:r>
          <a:r>
            <a:rPr lang="en-ID" sz="1400" baseline="0">
              <a:solidFill>
                <a:sysClr val="windowText" lastClr="000000"/>
              </a:solidFill>
            </a:rPr>
            <a:t> Muda</a:t>
          </a:r>
          <a:endParaRPr lang="en-ID" sz="1400">
            <a:solidFill>
              <a:sysClr val="windowText" lastClr="000000"/>
            </a:solidFill>
          </a:endParaRPr>
        </a:p>
        <a:p>
          <a:pPr algn="ctr"/>
          <a:r>
            <a:rPr lang="en-ID" sz="1400">
              <a:solidFill>
                <a:sysClr val="windowText" lastClr="000000"/>
              </a:solidFill>
            </a:rPr>
            <a:t>NIP. 19710717 199903 1 007</a:t>
          </a:r>
        </a:p>
        <a:p>
          <a:pPr algn="ctr"/>
          <a:endParaRPr lang="en-ID"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166161</xdr:colOff>
      <xdr:row>822</xdr:row>
      <xdr:rowOff>95250</xdr:rowOff>
    </xdr:from>
    <xdr:to>
      <xdr:col>8</xdr:col>
      <xdr:colOff>11</xdr:colOff>
      <xdr:row>839</xdr:row>
      <xdr:rowOff>147124</xdr:rowOff>
    </xdr:to>
    <xdr:sp macro="" textlink="">
      <xdr:nvSpPr>
        <xdr:cNvPr id="2" name="TextBox 1">
          <a:extLst>
            <a:ext uri="{FF2B5EF4-FFF2-40B4-BE49-F238E27FC236}">
              <a16:creationId xmlns:a16="http://schemas.microsoft.com/office/drawing/2014/main" id="{8D9A5BAE-1D2B-45EE-BDDF-6BAFBF6088E7}"/>
            </a:ext>
          </a:extLst>
        </xdr:cNvPr>
        <xdr:cNvSpPr txBox="1"/>
      </xdr:nvSpPr>
      <xdr:spPr>
        <a:xfrm>
          <a:off x="7786161" y="224790000"/>
          <a:ext cx="2481800" cy="2680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lang="en-US" sz="1800">
              <a:solidFill>
                <a:sysClr val="windowText" lastClr="000000"/>
              </a:solidFill>
              <a:effectLst/>
              <a:latin typeface="+mn-lt"/>
              <a:ea typeface="+mn-ea"/>
              <a:cs typeface="+mn-cs"/>
            </a:rPr>
            <a:t>SLAWI,       JANUARI 2024</a:t>
          </a:r>
          <a:endParaRPr lang="en-ID" sz="1800">
            <a:solidFill>
              <a:sysClr val="windowText" lastClr="000000"/>
            </a:solidFill>
            <a:effectLst/>
            <a:latin typeface="+mn-lt"/>
            <a:ea typeface="+mn-ea"/>
            <a:cs typeface="+mn-cs"/>
          </a:endParaRPr>
        </a:p>
        <a:p>
          <a:pPr algn="ctr">
            <a:lnSpc>
              <a:spcPts val="1600"/>
            </a:lnSpc>
          </a:pPr>
          <a:r>
            <a:rPr lang="en-US" sz="1800" b="1">
              <a:solidFill>
                <a:sysClr val="windowText" lastClr="000000"/>
              </a:solidFill>
              <a:effectLst/>
              <a:latin typeface="+mn-lt"/>
              <a:ea typeface="+mn-ea"/>
              <a:cs typeface="+mn-cs"/>
            </a:rPr>
            <a:t>KEPALA DINAS PEKERJAAN UMUM DAN PENATAAN RUANG KABUPATEN TEGAL</a:t>
          </a:r>
        </a:p>
        <a:p>
          <a:pPr algn="ctr">
            <a:lnSpc>
              <a:spcPts val="2100"/>
            </a:lnSpc>
          </a:pPr>
          <a:endParaRPr lang="en-US" sz="1800" b="1">
            <a:solidFill>
              <a:sysClr val="windowText" lastClr="000000"/>
            </a:solidFill>
            <a:effectLst/>
            <a:latin typeface="+mn-lt"/>
            <a:ea typeface="+mn-ea"/>
            <a:cs typeface="+mn-cs"/>
          </a:endParaRPr>
        </a:p>
        <a:p>
          <a:pPr algn="ctr">
            <a:lnSpc>
              <a:spcPts val="2100"/>
            </a:lnSpc>
          </a:pPr>
          <a:r>
            <a:rPr lang="id-ID" sz="1800">
              <a:solidFill>
                <a:sysClr val="windowText" lastClr="000000"/>
              </a:solidFill>
              <a:effectLst/>
              <a:latin typeface="+mn-lt"/>
              <a:ea typeface="+mn-ea"/>
              <a:cs typeface="+mn-cs"/>
            </a:rPr>
            <a:t> </a:t>
          </a:r>
          <a:endParaRPr lang="en-ID" sz="1800">
            <a:solidFill>
              <a:sysClr val="windowText" lastClr="000000"/>
            </a:solidFill>
            <a:effectLst/>
            <a:latin typeface="+mn-lt"/>
            <a:ea typeface="+mn-ea"/>
            <a:cs typeface="+mn-cs"/>
          </a:endParaRPr>
        </a:p>
        <a:p>
          <a:pPr algn="ctr">
            <a:lnSpc>
              <a:spcPts val="2100"/>
            </a:lnSpc>
          </a:pPr>
          <a:r>
            <a:rPr lang="en-US" sz="1800">
              <a:solidFill>
                <a:sysClr val="windowText" lastClr="000000"/>
              </a:solidFill>
              <a:effectLst/>
              <a:latin typeface="+mn-lt"/>
              <a:ea typeface="+mn-ea"/>
              <a:cs typeface="+mn-cs"/>
            </a:rPr>
            <a:t> </a:t>
          </a:r>
          <a:endParaRPr lang="en-ID" sz="1800">
            <a:solidFill>
              <a:sysClr val="windowText" lastClr="000000"/>
            </a:solidFill>
            <a:effectLst/>
            <a:latin typeface="+mn-lt"/>
            <a:ea typeface="+mn-ea"/>
            <a:cs typeface="+mn-cs"/>
          </a:endParaRPr>
        </a:p>
        <a:p>
          <a:pPr algn="ctr">
            <a:lnSpc>
              <a:spcPts val="2100"/>
            </a:lnSpc>
          </a:pPr>
          <a:r>
            <a:rPr lang="en-US" sz="1800" b="1" u="sng">
              <a:solidFill>
                <a:sysClr val="windowText" lastClr="000000"/>
              </a:solidFill>
              <a:effectLst/>
              <a:latin typeface="+mn-lt"/>
              <a:ea typeface="+mn-ea"/>
              <a:cs typeface="+mn-cs"/>
            </a:rPr>
            <a:t>TEGUH DWIJANTO.R , ST, MT, MA</a:t>
          </a:r>
          <a:endParaRPr lang="en-ID" sz="1800">
            <a:solidFill>
              <a:sysClr val="windowText" lastClr="000000"/>
            </a:solidFill>
            <a:effectLst/>
            <a:latin typeface="+mn-lt"/>
            <a:ea typeface="+mn-ea"/>
            <a:cs typeface="+mn-cs"/>
          </a:endParaRPr>
        </a:p>
        <a:p>
          <a:pPr algn="ctr">
            <a:lnSpc>
              <a:spcPts val="2100"/>
            </a:lnSpc>
          </a:pPr>
          <a:r>
            <a:rPr lang="en-US" sz="1800" b="0">
              <a:solidFill>
                <a:sysClr val="windowText" lastClr="000000"/>
              </a:solidFill>
              <a:effectLst/>
              <a:latin typeface="+mn-lt"/>
              <a:ea typeface="+mn-ea"/>
              <a:cs typeface="+mn-cs"/>
            </a:rPr>
            <a:t>Pembina Tk.I</a:t>
          </a:r>
        </a:p>
        <a:p>
          <a:pPr algn="ctr">
            <a:lnSpc>
              <a:spcPts val="2100"/>
            </a:lnSpc>
          </a:pPr>
          <a:r>
            <a:rPr lang="en-US" sz="1800">
              <a:solidFill>
                <a:sysClr val="windowText" lastClr="000000"/>
              </a:solidFill>
              <a:effectLst/>
              <a:latin typeface="+mn-lt"/>
              <a:ea typeface="+mn-ea"/>
              <a:cs typeface="+mn-cs"/>
            </a:rPr>
            <a:t>NIP. 19710717 199903 1 007</a:t>
          </a:r>
          <a:endParaRPr lang="en-ID" sz="1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AYU/2024/PAK%20HUDA/LAPORAN%20BULANAN%202024/LAPORAN%20BULANAN%20EXCEL/LAPORAN%20PENGADAAN%20DESEMBE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KET STRATEGIS"/>
      <sheetName val="PAKET STRATEGIS+FOTO"/>
      <sheetName val="LAP PENGADAAN DESEMBER"/>
      <sheetName val="LAP REKAP DESEMBER"/>
      <sheetName val="LAP APBD DESEMBER"/>
      <sheetName val="LAP HAMBATAN DESEMBER"/>
      <sheetName val="LAP DAK DESEMBER"/>
      <sheetName val="LAP DAK DAN PENUNJANG"/>
    </sheetNames>
    <sheetDataSet>
      <sheetData sheetId="0" refreshError="1"/>
      <sheetData sheetId="1" refreshError="1"/>
      <sheetData sheetId="2"/>
      <sheetData sheetId="3" refreshError="1"/>
      <sheetData sheetId="4">
        <row r="40">
          <cell r="J40">
            <v>1297385400</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3C1E-EE18-4730-BF83-E46A50184F9C}">
  <dimension ref="A1:L935"/>
  <sheetViews>
    <sheetView showGridLines="0" tabSelected="1" view="pageBreakPreview" topLeftCell="B914" zoomScale="85" zoomScaleNormal="80" zoomScaleSheetLayoutView="85" workbookViewId="0">
      <selection activeCell="C924" sqref="C924"/>
    </sheetView>
  </sheetViews>
  <sheetFormatPr defaultRowHeight="15" x14ac:dyDescent="0.25"/>
  <cols>
    <col min="1" max="1" width="13" style="3" hidden="1" customWidth="1"/>
    <col min="2" max="2" width="60.7109375" style="11" customWidth="1"/>
    <col min="3" max="3" width="16.5703125" style="3" customWidth="1"/>
    <col min="4" max="4" width="15" style="7" bestFit="1" customWidth="1"/>
    <col min="5" max="5" width="16.140625" style="8" customWidth="1"/>
    <col min="6" max="6" width="15.85546875" style="3" bestFit="1" customWidth="1"/>
    <col min="7" max="7" width="17.5703125" style="4" customWidth="1"/>
    <col min="8" max="8" width="13.85546875" style="10" bestFit="1" customWidth="1"/>
    <col min="9" max="9" width="0.140625" style="3" customWidth="1"/>
    <col min="10" max="10" width="17.140625" style="4" bestFit="1" customWidth="1"/>
    <col min="11" max="11" width="13.5703125" style="4" bestFit="1" customWidth="1"/>
    <col min="12" max="12" width="10.85546875" style="3" bestFit="1" customWidth="1"/>
    <col min="13" max="245" width="9.140625" style="3"/>
    <col min="246" max="246" width="13" style="3" customWidth="1"/>
    <col min="247" max="247" width="39.140625" style="3" customWidth="1"/>
    <col min="248" max="248" width="15.42578125" style="3" customWidth="1"/>
    <col min="249" max="249" width="13.140625" style="3" customWidth="1"/>
    <col min="250" max="250" width="11.140625" style="3" customWidth="1"/>
    <col min="251" max="251" width="29" style="3" customWidth="1"/>
    <col min="252" max="252" width="9.5703125" style="3" customWidth="1"/>
    <col min="253" max="253" width="14.42578125" style="3" customWidth="1"/>
    <col min="254" max="254" width="11" style="3" customWidth="1"/>
    <col min="255" max="255" width="12.7109375" style="3" customWidth="1"/>
    <col min="256" max="256" width="10.5703125" style="3" customWidth="1"/>
    <col min="257" max="257" width="14.42578125" style="3" customWidth="1"/>
    <col min="258" max="258" width="11.7109375" style="3" customWidth="1"/>
    <col min="259" max="259" width="8.28515625" style="3" customWidth="1"/>
    <col min="260" max="260" width="9.5703125" style="3" customWidth="1"/>
    <col min="261" max="261" width="7.7109375" style="3" customWidth="1"/>
    <col min="262" max="262" width="9.7109375" style="3" customWidth="1"/>
    <col min="263" max="263" width="6.42578125" style="3" customWidth="1"/>
    <col min="264" max="264" width="4.7109375" style="3" customWidth="1"/>
    <col min="265" max="265" width="0.140625" style="3" customWidth="1"/>
    <col min="266" max="266" width="12.140625" style="3" bestFit="1" customWidth="1"/>
    <col min="267" max="267" width="13.5703125" style="3" bestFit="1" customWidth="1"/>
    <col min="268" max="268" width="10.85546875" style="3" bestFit="1" customWidth="1"/>
    <col min="269" max="501" width="9.140625" style="3"/>
    <col min="502" max="502" width="13" style="3" customWidth="1"/>
    <col min="503" max="503" width="39.140625" style="3" customWidth="1"/>
    <col min="504" max="504" width="15.42578125" style="3" customWidth="1"/>
    <col min="505" max="505" width="13.140625" style="3" customWidth="1"/>
    <col min="506" max="506" width="11.140625" style="3" customWidth="1"/>
    <col min="507" max="507" width="29" style="3" customWidth="1"/>
    <col min="508" max="508" width="9.5703125" style="3" customWidth="1"/>
    <col min="509" max="509" width="14.42578125" style="3" customWidth="1"/>
    <col min="510" max="510" width="11" style="3" customWidth="1"/>
    <col min="511" max="511" width="12.7109375" style="3" customWidth="1"/>
    <col min="512" max="512" width="10.5703125" style="3" customWidth="1"/>
    <col min="513" max="513" width="14.42578125" style="3" customWidth="1"/>
    <col min="514" max="514" width="11.7109375" style="3" customWidth="1"/>
    <col min="515" max="515" width="8.28515625" style="3" customWidth="1"/>
    <col min="516" max="516" width="9.5703125" style="3" customWidth="1"/>
    <col min="517" max="517" width="7.7109375" style="3" customWidth="1"/>
    <col min="518" max="518" width="9.7109375" style="3" customWidth="1"/>
    <col min="519" max="519" width="6.42578125" style="3" customWidth="1"/>
    <col min="520" max="520" width="4.7109375" style="3" customWidth="1"/>
    <col min="521" max="521" width="0.140625" style="3" customWidth="1"/>
    <col min="522" max="522" width="12.140625" style="3" bestFit="1" customWidth="1"/>
    <col min="523" max="523" width="13.5703125" style="3" bestFit="1" customWidth="1"/>
    <col min="524" max="524" width="10.85546875" style="3" bestFit="1" customWidth="1"/>
    <col min="525" max="757" width="9.140625" style="3"/>
    <col min="758" max="758" width="13" style="3" customWidth="1"/>
    <col min="759" max="759" width="39.140625" style="3" customWidth="1"/>
    <col min="760" max="760" width="15.42578125" style="3" customWidth="1"/>
    <col min="761" max="761" width="13.140625" style="3" customWidth="1"/>
    <col min="762" max="762" width="11.140625" style="3" customWidth="1"/>
    <col min="763" max="763" width="29" style="3" customWidth="1"/>
    <col min="764" max="764" width="9.5703125" style="3" customWidth="1"/>
    <col min="765" max="765" width="14.42578125" style="3" customWidth="1"/>
    <col min="766" max="766" width="11" style="3" customWidth="1"/>
    <col min="767" max="767" width="12.7109375" style="3" customWidth="1"/>
    <col min="768" max="768" width="10.5703125" style="3" customWidth="1"/>
    <col min="769" max="769" width="14.42578125" style="3" customWidth="1"/>
    <col min="770" max="770" width="11.7109375" style="3" customWidth="1"/>
    <col min="771" max="771" width="8.28515625" style="3" customWidth="1"/>
    <col min="772" max="772" width="9.5703125" style="3" customWidth="1"/>
    <col min="773" max="773" width="7.7109375" style="3" customWidth="1"/>
    <col min="774" max="774" width="9.7109375" style="3" customWidth="1"/>
    <col min="775" max="775" width="6.42578125" style="3" customWidth="1"/>
    <col min="776" max="776" width="4.7109375" style="3" customWidth="1"/>
    <col min="777" max="777" width="0.140625" style="3" customWidth="1"/>
    <col min="778" max="778" width="12.140625" style="3" bestFit="1" customWidth="1"/>
    <col min="779" max="779" width="13.5703125" style="3" bestFit="1" customWidth="1"/>
    <col min="780" max="780" width="10.85546875" style="3" bestFit="1" customWidth="1"/>
    <col min="781" max="1013" width="9.140625" style="3"/>
    <col min="1014" max="1014" width="13" style="3" customWidth="1"/>
    <col min="1015" max="1015" width="39.140625" style="3" customWidth="1"/>
    <col min="1016" max="1016" width="15.42578125" style="3" customWidth="1"/>
    <col min="1017" max="1017" width="13.140625" style="3" customWidth="1"/>
    <col min="1018" max="1018" width="11.140625" style="3" customWidth="1"/>
    <col min="1019" max="1019" width="29" style="3" customWidth="1"/>
    <col min="1020" max="1020" width="9.5703125" style="3" customWidth="1"/>
    <col min="1021" max="1021" width="14.42578125" style="3" customWidth="1"/>
    <col min="1022" max="1022" width="11" style="3" customWidth="1"/>
    <col min="1023" max="1023" width="12.7109375" style="3" customWidth="1"/>
    <col min="1024" max="1024" width="10.5703125" style="3" customWidth="1"/>
    <col min="1025" max="1025" width="14.42578125" style="3" customWidth="1"/>
    <col min="1026" max="1026" width="11.7109375" style="3" customWidth="1"/>
    <col min="1027" max="1027" width="8.28515625" style="3" customWidth="1"/>
    <col min="1028" max="1028" width="9.5703125" style="3" customWidth="1"/>
    <col min="1029" max="1029" width="7.7109375" style="3" customWidth="1"/>
    <col min="1030" max="1030" width="9.7109375" style="3" customWidth="1"/>
    <col min="1031" max="1031" width="6.42578125" style="3" customWidth="1"/>
    <col min="1032" max="1032" width="4.7109375" style="3" customWidth="1"/>
    <col min="1033" max="1033" width="0.140625" style="3" customWidth="1"/>
    <col min="1034" max="1034" width="12.140625" style="3" bestFit="1" customWidth="1"/>
    <col min="1035" max="1035" width="13.5703125" style="3" bestFit="1" customWidth="1"/>
    <col min="1036" max="1036" width="10.85546875" style="3" bestFit="1" customWidth="1"/>
    <col min="1037" max="1269" width="9.140625" style="3"/>
    <col min="1270" max="1270" width="13" style="3" customWidth="1"/>
    <col min="1271" max="1271" width="39.140625" style="3" customWidth="1"/>
    <col min="1272" max="1272" width="15.42578125" style="3" customWidth="1"/>
    <col min="1273" max="1273" width="13.140625" style="3" customWidth="1"/>
    <col min="1274" max="1274" width="11.140625" style="3" customWidth="1"/>
    <col min="1275" max="1275" width="29" style="3" customWidth="1"/>
    <col min="1276" max="1276" width="9.5703125" style="3" customWidth="1"/>
    <col min="1277" max="1277" width="14.42578125" style="3" customWidth="1"/>
    <col min="1278" max="1278" width="11" style="3" customWidth="1"/>
    <col min="1279" max="1279" width="12.7109375" style="3" customWidth="1"/>
    <col min="1280" max="1280" width="10.5703125" style="3" customWidth="1"/>
    <col min="1281" max="1281" width="14.42578125" style="3" customWidth="1"/>
    <col min="1282" max="1282" width="11.7109375" style="3" customWidth="1"/>
    <col min="1283" max="1283" width="8.28515625" style="3" customWidth="1"/>
    <col min="1284" max="1284" width="9.5703125" style="3" customWidth="1"/>
    <col min="1285" max="1285" width="7.7109375" style="3" customWidth="1"/>
    <col min="1286" max="1286" width="9.7109375" style="3" customWidth="1"/>
    <col min="1287" max="1287" width="6.42578125" style="3" customWidth="1"/>
    <col min="1288" max="1288" width="4.7109375" style="3" customWidth="1"/>
    <col min="1289" max="1289" width="0.140625" style="3" customWidth="1"/>
    <col min="1290" max="1290" width="12.140625" style="3" bestFit="1" customWidth="1"/>
    <col min="1291" max="1291" width="13.5703125" style="3" bestFit="1" customWidth="1"/>
    <col min="1292" max="1292" width="10.85546875" style="3" bestFit="1" customWidth="1"/>
    <col min="1293" max="1525" width="9.140625" style="3"/>
    <col min="1526" max="1526" width="13" style="3" customWidth="1"/>
    <col min="1527" max="1527" width="39.140625" style="3" customWidth="1"/>
    <col min="1528" max="1528" width="15.42578125" style="3" customWidth="1"/>
    <col min="1529" max="1529" width="13.140625" style="3" customWidth="1"/>
    <col min="1530" max="1530" width="11.140625" style="3" customWidth="1"/>
    <col min="1531" max="1531" width="29" style="3" customWidth="1"/>
    <col min="1532" max="1532" width="9.5703125" style="3" customWidth="1"/>
    <col min="1533" max="1533" width="14.42578125" style="3" customWidth="1"/>
    <col min="1534" max="1534" width="11" style="3" customWidth="1"/>
    <col min="1535" max="1535" width="12.7109375" style="3" customWidth="1"/>
    <col min="1536" max="1536" width="10.5703125" style="3" customWidth="1"/>
    <col min="1537" max="1537" width="14.42578125" style="3" customWidth="1"/>
    <col min="1538" max="1538" width="11.7109375" style="3" customWidth="1"/>
    <col min="1539" max="1539" width="8.28515625" style="3" customWidth="1"/>
    <col min="1540" max="1540" width="9.5703125" style="3" customWidth="1"/>
    <col min="1541" max="1541" width="7.7109375" style="3" customWidth="1"/>
    <col min="1542" max="1542" width="9.7109375" style="3" customWidth="1"/>
    <col min="1543" max="1543" width="6.42578125" style="3" customWidth="1"/>
    <col min="1544" max="1544" width="4.7109375" style="3" customWidth="1"/>
    <col min="1545" max="1545" width="0.140625" style="3" customWidth="1"/>
    <col min="1546" max="1546" width="12.140625" style="3" bestFit="1" customWidth="1"/>
    <col min="1547" max="1547" width="13.5703125" style="3" bestFit="1" customWidth="1"/>
    <col min="1548" max="1548" width="10.85546875" style="3" bestFit="1" customWidth="1"/>
    <col min="1549" max="1781" width="9.140625" style="3"/>
    <col min="1782" max="1782" width="13" style="3" customWidth="1"/>
    <col min="1783" max="1783" width="39.140625" style="3" customWidth="1"/>
    <col min="1784" max="1784" width="15.42578125" style="3" customWidth="1"/>
    <col min="1785" max="1785" width="13.140625" style="3" customWidth="1"/>
    <col min="1786" max="1786" width="11.140625" style="3" customWidth="1"/>
    <col min="1787" max="1787" width="29" style="3" customWidth="1"/>
    <col min="1788" max="1788" width="9.5703125" style="3" customWidth="1"/>
    <col min="1789" max="1789" width="14.42578125" style="3" customWidth="1"/>
    <col min="1790" max="1790" width="11" style="3" customWidth="1"/>
    <col min="1791" max="1791" width="12.7109375" style="3" customWidth="1"/>
    <col min="1792" max="1792" width="10.5703125" style="3" customWidth="1"/>
    <col min="1793" max="1793" width="14.42578125" style="3" customWidth="1"/>
    <col min="1794" max="1794" width="11.7109375" style="3" customWidth="1"/>
    <col min="1795" max="1795" width="8.28515625" style="3" customWidth="1"/>
    <col min="1796" max="1796" width="9.5703125" style="3" customWidth="1"/>
    <col min="1797" max="1797" width="7.7109375" style="3" customWidth="1"/>
    <col min="1798" max="1798" width="9.7109375" style="3" customWidth="1"/>
    <col min="1799" max="1799" width="6.42578125" style="3" customWidth="1"/>
    <col min="1800" max="1800" width="4.7109375" style="3" customWidth="1"/>
    <col min="1801" max="1801" width="0.140625" style="3" customWidth="1"/>
    <col min="1802" max="1802" width="12.140625" style="3" bestFit="1" customWidth="1"/>
    <col min="1803" max="1803" width="13.5703125" style="3" bestFit="1" customWidth="1"/>
    <col min="1804" max="1804" width="10.85546875" style="3" bestFit="1" customWidth="1"/>
    <col min="1805" max="2037" width="9.140625" style="3"/>
    <col min="2038" max="2038" width="13" style="3" customWidth="1"/>
    <col min="2039" max="2039" width="39.140625" style="3" customWidth="1"/>
    <col min="2040" max="2040" width="15.42578125" style="3" customWidth="1"/>
    <col min="2041" max="2041" width="13.140625" style="3" customWidth="1"/>
    <col min="2042" max="2042" width="11.140625" style="3" customWidth="1"/>
    <col min="2043" max="2043" width="29" style="3" customWidth="1"/>
    <col min="2044" max="2044" width="9.5703125" style="3" customWidth="1"/>
    <col min="2045" max="2045" width="14.42578125" style="3" customWidth="1"/>
    <col min="2046" max="2046" width="11" style="3" customWidth="1"/>
    <col min="2047" max="2047" width="12.7109375" style="3" customWidth="1"/>
    <col min="2048" max="2048" width="10.5703125" style="3" customWidth="1"/>
    <col min="2049" max="2049" width="14.42578125" style="3" customWidth="1"/>
    <col min="2050" max="2050" width="11.7109375" style="3" customWidth="1"/>
    <col min="2051" max="2051" width="8.28515625" style="3" customWidth="1"/>
    <col min="2052" max="2052" width="9.5703125" style="3" customWidth="1"/>
    <col min="2053" max="2053" width="7.7109375" style="3" customWidth="1"/>
    <col min="2054" max="2054" width="9.7109375" style="3" customWidth="1"/>
    <col min="2055" max="2055" width="6.42578125" style="3" customWidth="1"/>
    <col min="2056" max="2056" width="4.7109375" style="3" customWidth="1"/>
    <col min="2057" max="2057" width="0.140625" style="3" customWidth="1"/>
    <col min="2058" max="2058" width="12.140625" style="3" bestFit="1" customWidth="1"/>
    <col min="2059" max="2059" width="13.5703125" style="3" bestFit="1" customWidth="1"/>
    <col min="2060" max="2060" width="10.85546875" style="3" bestFit="1" customWidth="1"/>
    <col min="2061" max="2293" width="9.140625" style="3"/>
    <col min="2294" max="2294" width="13" style="3" customWidth="1"/>
    <col min="2295" max="2295" width="39.140625" style="3" customWidth="1"/>
    <col min="2296" max="2296" width="15.42578125" style="3" customWidth="1"/>
    <col min="2297" max="2297" width="13.140625" style="3" customWidth="1"/>
    <col min="2298" max="2298" width="11.140625" style="3" customWidth="1"/>
    <col min="2299" max="2299" width="29" style="3" customWidth="1"/>
    <col min="2300" max="2300" width="9.5703125" style="3" customWidth="1"/>
    <col min="2301" max="2301" width="14.42578125" style="3" customWidth="1"/>
    <col min="2302" max="2302" width="11" style="3" customWidth="1"/>
    <col min="2303" max="2303" width="12.7109375" style="3" customWidth="1"/>
    <col min="2304" max="2304" width="10.5703125" style="3" customWidth="1"/>
    <col min="2305" max="2305" width="14.42578125" style="3" customWidth="1"/>
    <col min="2306" max="2306" width="11.7109375" style="3" customWidth="1"/>
    <col min="2307" max="2307" width="8.28515625" style="3" customWidth="1"/>
    <col min="2308" max="2308" width="9.5703125" style="3" customWidth="1"/>
    <col min="2309" max="2309" width="7.7109375" style="3" customWidth="1"/>
    <col min="2310" max="2310" width="9.7109375" style="3" customWidth="1"/>
    <col min="2311" max="2311" width="6.42578125" style="3" customWidth="1"/>
    <col min="2312" max="2312" width="4.7109375" style="3" customWidth="1"/>
    <col min="2313" max="2313" width="0.140625" style="3" customWidth="1"/>
    <col min="2314" max="2314" width="12.140625" style="3" bestFit="1" customWidth="1"/>
    <col min="2315" max="2315" width="13.5703125" style="3" bestFit="1" customWidth="1"/>
    <col min="2316" max="2316" width="10.85546875" style="3" bestFit="1" customWidth="1"/>
    <col min="2317" max="2549" width="9.140625" style="3"/>
    <col min="2550" max="2550" width="13" style="3" customWidth="1"/>
    <col min="2551" max="2551" width="39.140625" style="3" customWidth="1"/>
    <col min="2552" max="2552" width="15.42578125" style="3" customWidth="1"/>
    <col min="2553" max="2553" width="13.140625" style="3" customWidth="1"/>
    <col min="2554" max="2554" width="11.140625" style="3" customWidth="1"/>
    <col min="2555" max="2555" width="29" style="3" customWidth="1"/>
    <col min="2556" max="2556" width="9.5703125" style="3" customWidth="1"/>
    <col min="2557" max="2557" width="14.42578125" style="3" customWidth="1"/>
    <col min="2558" max="2558" width="11" style="3" customWidth="1"/>
    <col min="2559" max="2559" width="12.7109375" style="3" customWidth="1"/>
    <col min="2560" max="2560" width="10.5703125" style="3" customWidth="1"/>
    <col min="2561" max="2561" width="14.42578125" style="3" customWidth="1"/>
    <col min="2562" max="2562" width="11.7109375" style="3" customWidth="1"/>
    <col min="2563" max="2563" width="8.28515625" style="3" customWidth="1"/>
    <col min="2564" max="2564" width="9.5703125" style="3" customWidth="1"/>
    <col min="2565" max="2565" width="7.7109375" style="3" customWidth="1"/>
    <col min="2566" max="2566" width="9.7109375" style="3" customWidth="1"/>
    <col min="2567" max="2567" width="6.42578125" style="3" customWidth="1"/>
    <col min="2568" max="2568" width="4.7109375" style="3" customWidth="1"/>
    <col min="2569" max="2569" width="0.140625" style="3" customWidth="1"/>
    <col min="2570" max="2570" width="12.140625" style="3" bestFit="1" customWidth="1"/>
    <col min="2571" max="2571" width="13.5703125" style="3" bestFit="1" customWidth="1"/>
    <col min="2572" max="2572" width="10.85546875" style="3" bestFit="1" customWidth="1"/>
    <col min="2573" max="2805" width="9.140625" style="3"/>
    <col min="2806" max="2806" width="13" style="3" customWidth="1"/>
    <col min="2807" max="2807" width="39.140625" style="3" customWidth="1"/>
    <col min="2808" max="2808" width="15.42578125" style="3" customWidth="1"/>
    <col min="2809" max="2809" width="13.140625" style="3" customWidth="1"/>
    <col min="2810" max="2810" width="11.140625" style="3" customWidth="1"/>
    <col min="2811" max="2811" width="29" style="3" customWidth="1"/>
    <col min="2812" max="2812" width="9.5703125" style="3" customWidth="1"/>
    <col min="2813" max="2813" width="14.42578125" style="3" customWidth="1"/>
    <col min="2814" max="2814" width="11" style="3" customWidth="1"/>
    <col min="2815" max="2815" width="12.7109375" style="3" customWidth="1"/>
    <col min="2816" max="2816" width="10.5703125" style="3" customWidth="1"/>
    <col min="2817" max="2817" width="14.42578125" style="3" customWidth="1"/>
    <col min="2818" max="2818" width="11.7109375" style="3" customWidth="1"/>
    <col min="2819" max="2819" width="8.28515625" style="3" customWidth="1"/>
    <col min="2820" max="2820" width="9.5703125" style="3" customWidth="1"/>
    <col min="2821" max="2821" width="7.7109375" style="3" customWidth="1"/>
    <col min="2822" max="2822" width="9.7109375" style="3" customWidth="1"/>
    <col min="2823" max="2823" width="6.42578125" style="3" customWidth="1"/>
    <col min="2824" max="2824" width="4.7109375" style="3" customWidth="1"/>
    <col min="2825" max="2825" width="0.140625" style="3" customWidth="1"/>
    <col min="2826" max="2826" width="12.140625" style="3" bestFit="1" customWidth="1"/>
    <col min="2827" max="2827" width="13.5703125" style="3" bestFit="1" customWidth="1"/>
    <col min="2828" max="2828" width="10.85546875" style="3" bestFit="1" customWidth="1"/>
    <col min="2829" max="3061" width="9.140625" style="3"/>
    <col min="3062" max="3062" width="13" style="3" customWidth="1"/>
    <col min="3063" max="3063" width="39.140625" style="3" customWidth="1"/>
    <col min="3064" max="3064" width="15.42578125" style="3" customWidth="1"/>
    <col min="3065" max="3065" width="13.140625" style="3" customWidth="1"/>
    <col min="3066" max="3066" width="11.140625" style="3" customWidth="1"/>
    <col min="3067" max="3067" width="29" style="3" customWidth="1"/>
    <col min="3068" max="3068" width="9.5703125" style="3" customWidth="1"/>
    <col min="3069" max="3069" width="14.42578125" style="3" customWidth="1"/>
    <col min="3070" max="3070" width="11" style="3" customWidth="1"/>
    <col min="3071" max="3071" width="12.7109375" style="3" customWidth="1"/>
    <col min="3072" max="3072" width="10.5703125" style="3" customWidth="1"/>
    <col min="3073" max="3073" width="14.42578125" style="3" customWidth="1"/>
    <col min="3074" max="3074" width="11.7109375" style="3" customWidth="1"/>
    <col min="3075" max="3075" width="8.28515625" style="3" customWidth="1"/>
    <col min="3076" max="3076" width="9.5703125" style="3" customWidth="1"/>
    <col min="3077" max="3077" width="7.7109375" style="3" customWidth="1"/>
    <col min="3078" max="3078" width="9.7109375" style="3" customWidth="1"/>
    <col min="3079" max="3079" width="6.42578125" style="3" customWidth="1"/>
    <col min="3080" max="3080" width="4.7109375" style="3" customWidth="1"/>
    <col min="3081" max="3081" width="0.140625" style="3" customWidth="1"/>
    <col min="3082" max="3082" width="12.140625" style="3" bestFit="1" customWidth="1"/>
    <col min="3083" max="3083" width="13.5703125" style="3" bestFit="1" customWidth="1"/>
    <col min="3084" max="3084" width="10.85546875" style="3" bestFit="1" customWidth="1"/>
    <col min="3085" max="3317" width="9.140625" style="3"/>
    <col min="3318" max="3318" width="13" style="3" customWidth="1"/>
    <col min="3319" max="3319" width="39.140625" style="3" customWidth="1"/>
    <col min="3320" max="3320" width="15.42578125" style="3" customWidth="1"/>
    <col min="3321" max="3321" width="13.140625" style="3" customWidth="1"/>
    <col min="3322" max="3322" width="11.140625" style="3" customWidth="1"/>
    <col min="3323" max="3323" width="29" style="3" customWidth="1"/>
    <col min="3324" max="3324" width="9.5703125" style="3" customWidth="1"/>
    <col min="3325" max="3325" width="14.42578125" style="3" customWidth="1"/>
    <col min="3326" max="3326" width="11" style="3" customWidth="1"/>
    <col min="3327" max="3327" width="12.7109375" style="3" customWidth="1"/>
    <col min="3328" max="3328" width="10.5703125" style="3" customWidth="1"/>
    <col min="3329" max="3329" width="14.42578125" style="3" customWidth="1"/>
    <col min="3330" max="3330" width="11.7109375" style="3" customWidth="1"/>
    <col min="3331" max="3331" width="8.28515625" style="3" customWidth="1"/>
    <col min="3332" max="3332" width="9.5703125" style="3" customWidth="1"/>
    <col min="3333" max="3333" width="7.7109375" style="3" customWidth="1"/>
    <col min="3334" max="3334" width="9.7109375" style="3" customWidth="1"/>
    <col min="3335" max="3335" width="6.42578125" style="3" customWidth="1"/>
    <col min="3336" max="3336" width="4.7109375" style="3" customWidth="1"/>
    <col min="3337" max="3337" width="0.140625" style="3" customWidth="1"/>
    <col min="3338" max="3338" width="12.140625" style="3" bestFit="1" customWidth="1"/>
    <col min="3339" max="3339" width="13.5703125" style="3" bestFit="1" customWidth="1"/>
    <col min="3340" max="3340" width="10.85546875" style="3" bestFit="1" customWidth="1"/>
    <col min="3341" max="3573" width="9.140625" style="3"/>
    <col min="3574" max="3574" width="13" style="3" customWidth="1"/>
    <col min="3575" max="3575" width="39.140625" style="3" customWidth="1"/>
    <col min="3576" max="3576" width="15.42578125" style="3" customWidth="1"/>
    <col min="3577" max="3577" width="13.140625" style="3" customWidth="1"/>
    <col min="3578" max="3578" width="11.140625" style="3" customWidth="1"/>
    <col min="3579" max="3579" width="29" style="3" customWidth="1"/>
    <col min="3580" max="3580" width="9.5703125" style="3" customWidth="1"/>
    <col min="3581" max="3581" width="14.42578125" style="3" customWidth="1"/>
    <col min="3582" max="3582" width="11" style="3" customWidth="1"/>
    <col min="3583" max="3583" width="12.7109375" style="3" customWidth="1"/>
    <col min="3584" max="3584" width="10.5703125" style="3" customWidth="1"/>
    <col min="3585" max="3585" width="14.42578125" style="3" customWidth="1"/>
    <col min="3586" max="3586" width="11.7109375" style="3" customWidth="1"/>
    <col min="3587" max="3587" width="8.28515625" style="3" customWidth="1"/>
    <col min="3588" max="3588" width="9.5703125" style="3" customWidth="1"/>
    <col min="3589" max="3589" width="7.7109375" style="3" customWidth="1"/>
    <col min="3590" max="3590" width="9.7109375" style="3" customWidth="1"/>
    <col min="3591" max="3591" width="6.42578125" style="3" customWidth="1"/>
    <col min="3592" max="3592" width="4.7109375" style="3" customWidth="1"/>
    <col min="3593" max="3593" width="0.140625" style="3" customWidth="1"/>
    <col min="3594" max="3594" width="12.140625" style="3" bestFit="1" customWidth="1"/>
    <col min="3595" max="3595" width="13.5703125" style="3" bestFit="1" customWidth="1"/>
    <col min="3596" max="3596" width="10.85546875" style="3" bestFit="1" customWidth="1"/>
    <col min="3597" max="3829" width="9.140625" style="3"/>
    <col min="3830" max="3830" width="13" style="3" customWidth="1"/>
    <col min="3831" max="3831" width="39.140625" style="3" customWidth="1"/>
    <col min="3832" max="3832" width="15.42578125" style="3" customWidth="1"/>
    <col min="3833" max="3833" width="13.140625" style="3" customWidth="1"/>
    <col min="3834" max="3834" width="11.140625" style="3" customWidth="1"/>
    <col min="3835" max="3835" width="29" style="3" customWidth="1"/>
    <col min="3836" max="3836" width="9.5703125" style="3" customWidth="1"/>
    <col min="3837" max="3837" width="14.42578125" style="3" customWidth="1"/>
    <col min="3838" max="3838" width="11" style="3" customWidth="1"/>
    <col min="3839" max="3839" width="12.7109375" style="3" customWidth="1"/>
    <col min="3840" max="3840" width="10.5703125" style="3" customWidth="1"/>
    <col min="3841" max="3841" width="14.42578125" style="3" customWidth="1"/>
    <col min="3842" max="3842" width="11.7109375" style="3" customWidth="1"/>
    <col min="3843" max="3843" width="8.28515625" style="3" customWidth="1"/>
    <col min="3844" max="3844" width="9.5703125" style="3" customWidth="1"/>
    <col min="3845" max="3845" width="7.7109375" style="3" customWidth="1"/>
    <col min="3846" max="3846" width="9.7109375" style="3" customWidth="1"/>
    <col min="3847" max="3847" width="6.42578125" style="3" customWidth="1"/>
    <col min="3848" max="3848" width="4.7109375" style="3" customWidth="1"/>
    <col min="3849" max="3849" width="0.140625" style="3" customWidth="1"/>
    <col min="3850" max="3850" width="12.140625" style="3" bestFit="1" customWidth="1"/>
    <col min="3851" max="3851" width="13.5703125" style="3" bestFit="1" customWidth="1"/>
    <col min="3852" max="3852" width="10.85546875" style="3" bestFit="1" customWidth="1"/>
    <col min="3853" max="4085" width="9.140625" style="3"/>
    <col min="4086" max="4086" width="13" style="3" customWidth="1"/>
    <col min="4087" max="4087" width="39.140625" style="3" customWidth="1"/>
    <col min="4088" max="4088" width="15.42578125" style="3" customWidth="1"/>
    <col min="4089" max="4089" width="13.140625" style="3" customWidth="1"/>
    <col min="4090" max="4090" width="11.140625" style="3" customWidth="1"/>
    <col min="4091" max="4091" width="29" style="3" customWidth="1"/>
    <col min="4092" max="4092" width="9.5703125" style="3" customWidth="1"/>
    <col min="4093" max="4093" width="14.42578125" style="3" customWidth="1"/>
    <col min="4094" max="4094" width="11" style="3" customWidth="1"/>
    <col min="4095" max="4095" width="12.7109375" style="3" customWidth="1"/>
    <col min="4096" max="4096" width="10.5703125" style="3" customWidth="1"/>
    <col min="4097" max="4097" width="14.42578125" style="3" customWidth="1"/>
    <col min="4098" max="4098" width="11.7109375" style="3" customWidth="1"/>
    <col min="4099" max="4099" width="8.28515625" style="3" customWidth="1"/>
    <col min="4100" max="4100" width="9.5703125" style="3" customWidth="1"/>
    <col min="4101" max="4101" width="7.7109375" style="3" customWidth="1"/>
    <col min="4102" max="4102" width="9.7109375" style="3" customWidth="1"/>
    <col min="4103" max="4103" width="6.42578125" style="3" customWidth="1"/>
    <col min="4104" max="4104" width="4.7109375" style="3" customWidth="1"/>
    <col min="4105" max="4105" width="0.140625" style="3" customWidth="1"/>
    <col min="4106" max="4106" width="12.140625" style="3" bestFit="1" customWidth="1"/>
    <col min="4107" max="4107" width="13.5703125" style="3" bestFit="1" customWidth="1"/>
    <col min="4108" max="4108" width="10.85546875" style="3" bestFit="1" customWidth="1"/>
    <col min="4109" max="4341" width="9.140625" style="3"/>
    <col min="4342" max="4342" width="13" style="3" customWidth="1"/>
    <col min="4343" max="4343" width="39.140625" style="3" customWidth="1"/>
    <col min="4344" max="4344" width="15.42578125" style="3" customWidth="1"/>
    <col min="4345" max="4345" width="13.140625" style="3" customWidth="1"/>
    <col min="4346" max="4346" width="11.140625" style="3" customWidth="1"/>
    <col min="4347" max="4347" width="29" style="3" customWidth="1"/>
    <col min="4348" max="4348" width="9.5703125" style="3" customWidth="1"/>
    <col min="4349" max="4349" width="14.42578125" style="3" customWidth="1"/>
    <col min="4350" max="4350" width="11" style="3" customWidth="1"/>
    <col min="4351" max="4351" width="12.7109375" style="3" customWidth="1"/>
    <col min="4352" max="4352" width="10.5703125" style="3" customWidth="1"/>
    <col min="4353" max="4353" width="14.42578125" style="3" customWidth="1"/>
    <col min="4354" max="4354" width="11.7109375" style="3" customWidth="1"/>
    <col min="4355" max="4355" width="8.28515625" style="3" customWidth="1"/>
    <col min="4356" max="4356" width="9.5703125" style="3" customWidth="1"/>
    <col min="4357" max="4357" width="7.7109375" style="3" customWidth="1"/>
    <col min="4358" max="4358" width="9.7109375" style="3" customWidth="1"/>
    <col min="4359" max="4359" width="6.42578125" style="3" customWidth="1"/>
    <col min="4360" max="4360" width="4.7109375" style="3" customWidth="1"/>
    <col min="4361" max="4361" width="0.140625" style="3" customWidth="1"/>
    <col min="4362" max="4362" width="12.140625" style="3" bestFit="1" customWidth="1"/>
    <col min="4363" max="4363" width="13.5703125" style="3" bestFit="1" customWidth="1"/>
    <col min="4364" max="4364" width="10.85546875" style="3" bestFit="1" customWidth="1"/>
    <col min="4365" max="4597" width="9.140625" style="3"/>
    <col min="4598" max="4598" width="13" style="3" customWidth="1"/>
    <col min="4599" max="4599" width="39.140625" style="3" customWidth="1"/>
    <col min="4600" max="4600" width="15.42578125" style="3" customWidth="1"/>
    <col min="4601" max="4601" width="13.140625" style="3" customWidth="1"/>
    <col min="4602" max="4602" width="11.140625" style="3" customWidth="1"/>
    <col min="4603" max="4603" width="29" style="3" customWidth="1"/>
    <col min="4604" max="4604" width="9.5703125" style="3" customWidth="1"/>
    <col min="4605" max="4605" width="14.42578125" style="3" customWidth="1"/>
    <col min="4606" max="4606" width="11" style="3" customWidth="1"/>
    <col min="4607" max="4607" width="12.7109375" style="3" customWidth="1"/>
    <col min="4608" max="4608" width="10.5703125" style="3" customWidth="1"/>
    <col min="4609" max="4609" width="14.42578125" style="3" customWidth="1"/>
    <col min="4610" max="4610" width="11.7109375" style="3" customWidth="1"/>
    <col min="4611" max="4611" width="8.28515625" style="3" customWidth="1"/>
    <col min="4612" max="4612" width="9.5703125" style="3" customWidth="1"/>
    <col min="4613" max="4613" width="7.7109375" style="3" customWidth="1"/>
    <col min="4614" max="4614" width="9.7109375" style="3" customWidth="1"/>
    <col min="4615" max="4615" width="6.42578125" style="3" customWidth="1"/>
    <col min="4616" max="4616" width="4.7109375" style="3" customWidth="1"/>
    <col min="4617" max="4617" width="0.140625" style="3" customWidth="1"/>
    <col min="4618" max="4618" width="12.140625" style="3" bestFit="1" customWidth="1"/>
    <col min="4619" max="4619" width="13.5703125" style="3" bestFit="1" customWidth="1"/>
    <col min="4620" max="4620" width="10.85546875" style="3" bestFit="1" customWidth="1"/>
    <col min="4621" max="4853" width="9.140625" style="3"/>
    <col min="4854" max="4854" width="13" style="3" customWidth="1"/>
    <col min="4855" max="4855" width="39.140625" style="3" customWidth="1"/>
    <col min="4856" max="4856" width="15.42578125" style="3" customWidth="1"/>
    <col min="4857" max="4857" width="13.140625" style="3" customWidth="1"/>
    <col min="4858" max="4858" width="11.140625" style="3" customWidth="1"/>
    <col min="4859" max="4859" width="29" style="3" customWidth="1"/>
    <col min="4860" max="4860" width="9.5703125" style="3" customWidth="1"/>
    <col min="4861" max="4861" width="14.42578125" style="3" customWidth="1"/>
    <col min="4862" max="4862" width="11" style="3" customWidth="1"/>
    <col min="4863" max="4863" width="12.7109375" style="3" customWidth="1"/>
    <col min="4864" max="4864" width="10.5703125" style="3" customWidth="1"/>
    <col min="4865" max="4865" width="14.42578125" style="3" customWidth="1"/>
    <col min="4866" max="4866" width="11.7109375" style="3" customWidth="1"/>
    <col min="4867" max="4867" width="8.28515625" style="3" customWidth="1"/>
    <col min="4868" max="4868" width="9.5703125" style="3" customWidth="1"/>
    <col min="4869" max="4869" width="7.7109375" style="3" customWidth="1"/>
    <col min="4870" max="4870" width="9.7109375" style="3" customWidth="1"/>
    <col min="4871" max="4871" width="6.42578125" style="3" customWidth="1"/>
    <col min="4872" max="4872" width="4.7109375" style="3" customWidth="1"/>
    <col min="4873" max="4873" width="0.140625" style="3" customWidth="1"/>
    <col min="4874" max="4874" width="12.140625" style="3" bestFit="1" customWidth="1"/>
    <col min="4875" max="4875" width="13.5703125" style="3" bestFit="1" customWidth="1"/>
    <col min="4876" max="4876" width="10.85546875" style="3" bestFit="1" customWidth="1"/>
    <col min="4877" max="5109" width="9.140625" style="3"/>
    <col min="5110" max="5110" width="13" style="3" customWidth="1"/>
    <col min="5111" max="5111" width="39.140625" style="3" customWidth="1"/>
    <col min="5112" max="5112" width="15.42578125" style="3" customWidth="1"/>
    <col min="5113" max="5113" width="13.140625" style="3" customWidth="1"/>
    <col min="5114" max="5114" width="11.140625" style="3" customWidth="1"/>
    <col min="5115" max="5115" width="29" style="3" customWidth="1"/>
    <col min="5116" max="5116" width="9.5703125" style="3" customWidth="1"/>
    <col min="5117" max="5117" width="14.42578125" style="3" customWidth="1"/>
    <col min="5118" max="5118" width="11" style="3" customWidth="1"/>
    <col min="5119" max="5119" width="12.7109375" style="3" customWidth="1"/>
    <col min="5120" max="5120" width="10.5703125" style="3" customWidth="1"/>
    <col min="5121" max="5121" width="14.42578125" style="3" customWidth="1"/>
    <col min="5122" max="5122" width="11.7109375" style="3" customWidth="1"/>
    <col min="5123" max="5123" width="8.28515625" style="3" customWidth="1"/>
    <col min="5124" max="5124" width="9.5703125" style="3" customWidth="1"/>
    <col min="5125" max="5125" width="7.7109375" style="3" customWidth="1"/>
    <col min="5126" max="5126" width="9.7109375" style="3" customWidth="1"/>
    <col min="5127" max="5127" width="6.42578125" style="3" customWidth="1"/>
    <col min="5128" max="5128" width="4.7109375" style="3" customWidth="1"/>
    <col min="5129" max="5129" width="0.140625" style="3" customWidth="1"/>
    <col min="5130" max="5130" width="12.140625" style="3" bestFit="1" customWidth="1"/>
    <col min="5131" max="5131" width="13.5703125" style="3" bestFit="1" customWidth="1"/>
    <col min="5132" max="5132" width="10.85546875" style="3" bestFit="1" customWidth="1"/>
    <col min="5133" max="5365" width="9.140625" style="3"/>
    <col min="5366" max="5366" width="13" style="3" customWidth="1"/>
    <col min="5367" max="5367" width="39.140625" style="3" customWidth="1"/>
    <col min="5368" max="5368" width="15.42578125" style="3" customWidth="1"/>
    <col min="5369" max="5369" width="13.140625" style="3" customWidth="1"/>
    <col min="5370" max="5370" width="11.140625" style="3" customWidth="1"/>
    <col min="5371" max="5371" width="29" style="3" customWidth="1"/>
    <col min="5372" max="5372" width="9.5703125" style="3" customWidth="1"/>
    <col min="5373" max="5373" width="14.42578125" style="3" customWidth="1"/>
    <col min="5374" max="5374" width="11" style="3" customWidth="1"/>
    <col min="5375" max="5375" width="12.7109375" style="3" customWidth="1"/>
    <col min="5376" max="5376" width="10.5703125" style="3" customWidth="1"/>
    <col min="5377" max="5377" width="14.42578125" style="3" customWidth="1"/>
    <col min="5378" max="5378" width="11.7109375" style="3" customWidth="1"/>
    <col min="5379" max="5379" width="8.28515625" style="3" customWidth="1"/>
    <col min="5380" max="5380" width="9.5703125" style="3" customWidth="1"/>
    <col min="5381" max="5381" width="7.7109375" style="3" customWidth="1"/>
    <col min="5382" max="5382" width="9.7109375" style="3" customWidth="1"/>
    <col min="5383" max="5383" width="6.42578125" style="3" customWidth="1"/>
    <col min="5384" max="5384" width="4.7109375" style="3" customWidth="1"/>
    <col min="5385" max="5385" width="0.140625" style="3" customWidth="1"/>
    <col min="5386" max="5386" width="12.140625" style="3" bestFit="1" customWidth="1"/>
    <col min="5387" max="5387" width="13.5703125" style="3" bestFit="1" customWidth="1"/>
    <col min="5388" max="5388" width="10.85546875" style="3" bestFit="1" customWidth="1"/>
    <col min="5389" max="5621" width="9.140625" style="3"/>
    <col min="5622" max="5622" width="13" style="3" customWidth="1"/>
    <col min="5623" max="5623" width="39.140625" style="3" customWidth="1"/>
    <col min="5624" max="5624" width="15.42578125" style="3" customWidth="1"/>
    <col min="5625" max="5625" width="13.140625" style="3" customWidth="1"/>
    <col min="5626" max="5626" width="11.140625" style="3" customWidth="1"/>
    <col min="5627" max="5627" width="29" style="3" customWidth="1"/>
    <col min="5628" max="5628" width="9.5703125" style="3" customWidth="1"/>
    <col min="5629" max="5629" width="14.42578125" style="3" customWidth="1"/>
    <col min="5630" max="5630" width="11" style="3" customWidth="1"/>
    <col min="5631" max="5631" width="12.7109375" style="3" customWidth="1"/>
    <col min="5632" max="5632" width="10.5703125" style="3" customWidth="1"/>
    <col min="5633" max="5633" width="14.42578125" style="3" customWidth="1"/>
    <col min="5634" max="5634" width="11.7109375" style="3" customWidth="1"/>
    <col min="5635" max="5635" width="8.28515625" style="3" customWidth="1"/>
    <col min="5636" max="5636" width="9.5703125" style="3" customWidth="1"/>
    <col min="5637" max="5637" width="7.7109375" style="3" customWidth="1"/>
    <col min="5638" max="5638" width="9.7109375" style="3" customWidth="1"/>
    <col min="5639" max="5639" width="6.42578125" style="3" customWidth="1"/>
    <col min="5640" max="5640" width="4.7109375" style="3" customWidth="1"/>
    <col min="5641" max="5641" width="0.140625" style="3" customWidth="1"/>
    <col min="5642" max="5642" width="12.140625" style="3" bestFit="1" customWidth="1"/>
    <col min="5643" max="5643" width="13.5703125" style="3" bestFit="1" customWidth="1"/>
    <col min="5644" max="5644" width="10.85546875" style="3" bestFit="1" customWidth="1"/>
    <col min="5645" max="5877" width="9.140625" style="3"/>
    <col min="5878" max="5878" width="13" style="3" customWidth="1"/>
    <col min="5879" max="5879" width="39.140625" style="3" customWidth="1"/>
    <col min="5880" max="5880" width="15.42578125" style="3" customWidth="1"/>
    <col min="5881" max="5881" width="13.140625" style="3" customWidth="1"/>
    <col min="5882" max="5882" width="11.140625" style="3" customWidth="1"/>
    <col min="5883" max="5883" width="29" style="3" customWidth="1"/>
    <col min="5884" max="5884" width="9.5703125" style="3" customWidth="1"/>
    <col min="5885" max="5885" width="14.42578125" style="3" customWidth="1"/>
    <col min="5886" max="5886" width="11" style="3" customWidth="1"/>
    <col min="5887" max="5887" width="12.7109375" style="3" customWidth="1"/>
    <col min="5888" max="5888" width="10.5703125" style="3" customWidth="1"/>
    <col min="5889" max="5889" width="14.42578125" style="3" customWidth="1"/>
    <col min="5890" max="5890" width="11.7109375" style="3" customWidth="1"/>
    <col min="5891" max="5891" width="8.28515625" style="3" customWidth="1"/>
    <col min="5892" max="5892" width="9.5703125" style="3" customWidth="1"/>
    <col min="5893" max="5893" width="7.7109375" style="3" customWidth="1"/>
    <col min="5894" max="5894" width="9.7109375" style="3" customWidth="1"/>
    <col min="5895" max="5895" width="6.42578125" style="3" customWidth="1"/>
    <col min="5896" max="5896" width="4.7109375" style="3" customWidth="1"/>
    <col min="5897" max="5897" width="0.140625" style="3" customWidth="1"/>
    <col min="5898" max="5898" width="12.140625" style="3" bestFit="1" customWidth="1"/>
    <col min="5899" max="5899" width="13.5703125" style="3" bestFit="1" customWidth="1"/>
    <col min="5900" max="5900" width="10.85546875" style="3" bestFit="1" customWidth="1"/>
    <col min="5901" max="6133" width="9.140625" style="3"/>
    <col min="6134" max="6134" width="13" style="3" customWidth="1"/>
    <col min="6135" max="6135" width="39.140625" style="3" customWidth="1"/>
    <col min="6136" max="6136" width="15.42578125" style="3" customWidth="1"/>
    <col min="6137" max="6137" width="13.140625" style="3" customWidth="1"/>
    <col min="6138" max="6138" width="11.140625" style="3" customWidth="1"/>
    <col min="6139" max="6139" width="29" style="3" customWidth="1"/>
    <col min="6140" max="6140" width="9.5703125" style="3" customWidth="1"/>
    <col min="6141" max="6141" width="14.42578125" style="3" customWidth="1"/>
    <col min="6142" max="6142" width="11" style="3" customWidth="1"/>
    <col min="6143" max="6143" width="12.7109375" style="3" customWidth="1"/>
    <col min="6144" max="6144" width="10.5703125" style="3" customWidth="1"/>
    <col min="6145" max="6145" width="14.42578125" style="3" customWidth="1"/>
    <col min="6146" max="6146" width="11.7109375" style="3" customWidth="1"/>
    <col min="6147" max="6147" width="8.28515625" style="3" customWidth="1"/>
    <col min="6148" max="6148" width="9.5703125" style="3" customWidth="1"/>
    <col min="6149" max="6149" width="7.7109375" style="3" customWidth="1"/>
    <col min="6150" max="6150" width="9.7109375" style="3" customWidth="1"/>
    <col min="6151" max="6151" width="6.42578125" style="3" customWidth="1"/>
    <col min="6152" max="6152" width="4.7109375" style="3" customWidth="1"/>
    <col min="6153" max="6153" width="0.140625" style="3" customWidth="1"/>
    <col min="6154" max="6154" width="12.140625" style="3" bestFit="1" customWidth="1"/>
    <col min="6155" max="6155" width="13.5703125" style="3" bestFit="1" customWidth="1"/>
    <col min="6156" max="6156" width="10.85546875" style="3" bestFit="1" customWidth="1"/>
    <col min="6157" max="6389" width="9.140625" style="3"/>
    <col min="6390" max="6390" width="13" style="3" customWidth="1"/>
    <col min="6391" max="6391" width="39.140625" style="3" customWidth="1"/>
    <col min="6392" max="6392" width="15.42578125" style="3" customWidth="1"/>
    <col min="6393" max="6393" width="13.140625" style="3" customWidth="1"/>
    <col min="6394" max="6394" width="11.140625" style="3" customWidth="1"/>
    <col min="6395" max="6395" width="29" style="3" customWidth="1"/>
    <col min="6396" max="6396" width="9.5703125" style="3" customWidth="1"/>
    <col min="6397" max="6397" width="14.42578125" style="3" customWidth="1"/>
    <col min="6398" max="6398" width="11" style="3" customWidth="1"/>
    <col min="6399" max="6399" width="12.7109375" style="3" customWidth="1"/>
    <col min="6400" max="6400" width="10.5703125" style="3" customWidth="1"/>
    <col min="6401" max="6401" width="14.42578125" style="3" customWidth="1"/>
    <col min="6402" max="6402" width="11.7109375" style="3" customWidth="1"/>
    <col min="6403" max="6403" width="8.28515625" style="3" customWidth="1"/>
    <col min="6404" max="6404" width="9.5703125" style="3" customWidth="1"/>
    <col min="6405" max="6405" width="7.7109375" style="3" customWidth="1"/>
    <col min="6406" max="6406" width="9.7109375" style="3" customWidth="1"/>
    <col min="6407" max="6407" width="6.42578125" style="3" customWidth="1"/>
    <col min="6408" max="6408" width="4.7109375" style="3" customWidth="1"/>
    <col min="6409" max="6409" width="0.140625" style="3" customWidth="1"/>
    <col min="6410" max="6410" width="12.140625" style="3" bestFit="1" customWidth="1"/>
    <col min="6411" max="6411" width="13.5703125" style="3" bestFit="1" customWidth="1"/>
    <col min="6412" max="6412" width="10.85546875" style="3" bestFit="1" customWidth="1"/>
    <col min="6413" max="6645" width="9.140625" style="3"/>
    <col min="6646" max="6646" width="13" style="3" customWidth="1"/>
    <col min="6647" max="6647" width="39.140625" style="3" customWidth="1"/>
    <col min="6648" max="6648" width="15.42578125" style="3" customWidth="1"/>
    <col min="6649" max="6649" width="13.140625" style="3" customWidth="1"/>
    <col min="6650" max="6650" width="11.140625" style="3" customWidth="1"/>
    <col min="6651" max="6651" width="29" style="3" customWidth="1"/>
    <col min="6652" max="6652" width="9.5703125" style="3" customWidth="1"/>
    <col min="6653" max="6653" width="14.42578125" style="3" customWidth="1"/>
    <col min="6654" max="6654" width="11" style="3" customWidth="1"/>
    <col min="6655" max="6655" width="12.7109375" style="3" customWidth="1"/>
    <col min="6656" max="6656" width="10.5703125" style="3" customWidth="1"/>
    <col min="6657" max="6657" width="14.42578125" style="3" customWidth="1"/>
    <col min="6658" max="6658" width="11.7109375" style="3" customWidth="1"/>
    <col min="6659" max="6659" width="8.28515625" style="3" customWidth="1"/>
    <col min="6660" max="6660" width="9.5703125" style="3" customWidth="1"/>
    <col min="6661" max="6661" width="7.7109375" style="3" customWidth="1"/>
    <col min="6662" max="6662" width="9.7109375" style="3" customWidth="1"/>
    <col min="6663" max="6663" width="6.42578125" style="3" customWidth="1"/>
    <col min="6664" max="6664" width="4.7109375" style="3" customWidth="1"/>
    <col min="6665" max="6665" width="0.140625" style="3" customWidth="1"/>
    <col min="6666" max="6666" width="12.140625" style="3" bestFit="1" customWidth="1"/>
    <col min="6667" max="6667" width="13.5703125" style="3" bestFit="1" customWidth="1"/>
    <col min="6668" max="6668" width="10.85546875" style="3" bestFit="1" customWidth="1"/>
    <col min="6669" max="6901" width="9.140625" style="3"/>
    <col min="6902" max="6902" width="13" style="3" customWidth="1"/>
    <col min="6903" max="6903" width="39.140625" style="3" customWidth="1"/>
    <col min="6904" max="6904" width="15.42578125" style="3" customWidth="1"/>
    <col min="6905" max="6905" width="13.140625" style="3" customWidth="1"/>
    <col min="6906" max="6906" width="11.140625" style="3" customWidth="1"/>
    <col min="6907" max="6907" width="29" style="3" customWidth="1"/>
    <col min="6908" max="6908" width="9.5703125" style="3" customWidth="1"/>
    <col min="6909" max="6909" width="14.42578125" style="3" customWidth="1"/>
    <col min="6910" max="6910" width="11" style="3" customWidth="1"/>
    <col min="6911" max="6911" width="12.7109375" style="3" customWidth="1"/>
    <col min="6912" max="6912" width="10.5703125" style="3" customWidth="1"/>
    <col min="6913" max="6913" width="14.42578125" style="3" customWidth="1"/>
    <col min="6914" max="6914" width="11.7109375" style="3" customWidth="1"/>
    <col min="6915" max="6915" width="8.28515625" style="3" customWidth="1"/>
    <col min="6916" max="6916" width="9.5703125" style="3" customWidth="1"/>
    <col min="6917" max="6917" width="7.7109375" style="3" customWidth="1"/>
    <col min="6918" max="6918" width="9.7109375" style="3" customWidth="1"/>
    <col min="6919" max="6919" width="6.42578125" style="3" customWidth="1"/>
    <col min="6920" max="6920" width="4.7109375" style="3" customWidth="1"/>
    <col min="6921" max="6921" width="0.140625" style="3" customWidth="1"/>
    <col min="6922" max="6922" width="12.140625" style="3" bestFit="1" customWidth="1"/>
    <col min="6923" max="6923" width="13.5703125" style="3" bestFit="1" customWidth="1"/>
    <col min="6924" max="6924" width="10.85546875" style="3" bestFit="1" customWidth="1"/>
    <col min="6925" max="7157" width="9.140625" style="3"/>
    <col min="7158" max="7158" width="13" style="3" customWidth="1"/>
    <col min="7159" max="7159" width="39.140625" style="3" customWidth="1"/>
    <col min="7160" max="7160" width="15.42578125" style="3" customWidth="1"/>
    <col min="7161" max="7161" width="13.140625" style="3" customWidth="1"/>
    <col min="7162" max="7162" width="11.140625" style="3" customWidth="1"/>
    <col min="7163" max="7163" width="29" style="3" customWidth="1"/>
    <col min="7164" max="7164" width="9.5703125" style="3" customWidth="1"/>
    <col min="7165" max="7165" width="14.42578125" style="3" customWidth="1"/>
    <col min="7166" max="7166" width="11" style="3" customWidth="1"/>
    <col min="7167" max="7167" width="12.7109375" style="3" customWidth="1"/>
    <col min="7168" max="7168" width="10.5703125" style="3" customWidth="1"/>
    <col min="7169" max="7169" width="14.42578125" style="3" customWidth="1"/>
    <col min="7170" max="7170" width="11.7109375" style="3" customWidth="1"/>
    <col min="7171" max="7171" width="8.28515625" style="3" customWidth="1"/>
    <col min="7172" max="7172" width="9.5703125" style="3" customWidth="1"/>
    <col min="7173" max="7173" width="7.7109375" style="3" customWidth="1"/>
    <col min="7174" max="7174" width="9.7109375" style="3" customWidth="1"/>
    <col min="7175" max="7175" width="6.42578125" style="3" customWidth="1"/>
    <col min="7176" max="7176" width="4.7109375" style="3" customWidth="1"/>
    <col min="7177" max="7177" width="0.140625" style="3" customWidth="1"/>
    <col min="7178" max="7178" width="12.140625" style="3" bestFit="1" customWidth="1"/>
    <col min="7179" max="7179" width="13.5703125" style="3" bestFit="1" customWidth="1"/>
    <col min="7180" max="7180" width="10.85546875" style="3" bestFit="1" customWidth="1"/>
    <col min="7181" max="7413" width="9.140625" style="3"/>
    <col min="7414" max="7414" width="13" style="3" customWidth="1"/>
    <col min="7415" max="7415" width="39.140625" style="3" customWidth="1"/>
    <col min="7416" max="7416" width="15.42578125" style="3" customWidth="1"/>
    <col min="7417" max="7417" width="13.140625" style="3" customWidth="1"/>
    <col min="7418" max="7418" width="11.140625" style="3" customWidth="1"/>
    <col min="7419" max="7419" width="29" style="3" customWidth="1"/>
    <col min="7420" max="7420" width="9.5703125" style="3" customWidth="1"/>
    <col min="7421" max="7421" width="14.42578125" style="3" customWidth="1"/>
    <col min="7422" max="7422" width="11" style="3" customWidth="1"/>
    <col min="7423" max="7423" width="12.7109375" style="3" customWidth="1"/>
    <col min="7424" max="7424" width="10.5703125" style="3" customWidth="1"/>
    <col min="7425" max="7425" width="14.42578125" style="3" customWidth="1"/>
    <col min="7426" max="7426" width="11.7109375" style="3" customWidth="1"/>
    <col min="7427" max="7427" width="8.28515625" style="3" customWidth="1"/>
    <col min="7428" max="7428" width="9.5703125" style="3" customWidth="1"/>
    <col min="7429" max="7429" width="7.7109375" style="3" customWidth="1"/>
    <col min="7430" max="7430" width="9.7109375" style="3" customWidth="1"/>
    <col min="7431" max="7431" width="6.42578125" style="3" customWidth="1"/>
    <col min="7432" max="7432" width="4.7109375" style="3" customWidth="1"/>
    <col min="7433" max="7433" width="0.140625" style="3" customWidth="1"/>
    <col min="7434" max="7434" width="12.140625" style="3" bestFit="1" customWidth="1"/>
    <col min="7435" max="7435" width="13.5703125" style="3" bestFit="1" customWidth="1"/>
    <col min="7436" max="7436" width="10.85546875" style="3" bestFit="1" customWidth="1"/>
    <col min="7437" max="7669" width="9.140625" style="3"/>
    <col min="7670" max="7670" width="13" style="3" customWidth="1"/>
    <col min="7671" max="7671" width="39.140625" style="3" customWidth="1"/>
    <col min="7672" max="7672" width="15.42578125" style="3" customWidth="1"/>
    <col min="7673" max="7673" width="13.140625" style="3" customWidth="1"/>
    <col min="7674" max="7674" width="11.140625" style="3" customWidth="1"/>
    <col min="7675" max="7675" width="29" style="3" customWidth="1"/>
    <col min="7676" max="7676" width="9.5703125" style="3" customWidth="1"/>
    <col min="7677" max="7677" width="14.42578125" style="3" customWidth="1"/>
    <col min="7678" max="7678" width="11" style="3" customWidth="1"/>
    <col min="7679" max="7679" width="12.7109375" style="3" customWidth="1"/>
    <col min="7680" max="7680" width="10.5703125" style="3" customWidth="1"/>
    <col min="7681" max="7681" width="14.42578125" style="3" customWidth="1"/>
    <col min="7682" max="7682" width="11.7109375" style="3" customWidth="1"/>
    <col min="7683" max="7683" width="8.28515625" style="3" customWidth="1"/>
    <col min="7684" max="7684" width="9.5703125" style="3" customWidth="1"/>
    <col min="7685" max="7685" width="7.7109375" style="3" customWidth="1"/>
    <col min="7686" max="7686" width="9.7109375" style="3" customWidth="1"/>
    <col min="7687" max="7687" width="6.42578125" style="3" customWidth="1"/>
    <col min="7688" max="7688" width="4.7109375" style="3" customWidth="1"/>
    <col min="7689" max="7689" width="0.140625" style="3" customWidth="1"/>
    <col min="7690" max="7690" width="12.140625" style="3" bestFit="1" customWidth="1"/>
    <col min="7691" max="7691" width="13.5703125" style="3" bestFit="1" customWidth="1"/>
    <col min="7692" max="7692" width="10.85546875" style="3" bestFit="1" customWidth="1"/>
    <col min="7693" max="7925" width="9.140625" style="3"/>
    <col min="7926" max="7926" width="13" style="3" customWidth="1"/>
    <col min="7927" max="7927" width="39.140625" style="3" customWidth="1"/>
    <col min="7928" max="7928" width="15.42578125" style="3" customWidth="1"/>
    <col min="7929" max="7929" width="13.140625" style="3" customWidth="1"/>
    <col min="7930" max="7930" width="11.140625" style="3" customWidth="1"/>
    <col min="7931" max="7931" width="29" style="3" customWidth="1"/>
    <col min="7932" max="7932" width="9.5703125" style="3" customWidth="1"/>
    <col min="7933" max="7933" width="14.42578125" style="3" customWidth="1"/>
    <col min="7934" max="7934" width="11" style="3" customWidth="1"/>
    <col min="7935" max="7935" width="12.7109375" style="3" customWidth="1"/>
    <col min="7936" max="7936" width="10.5703125" style="3" customWidth="1"/>
    <col min="7937" max="7937" width="14.42578125" style="3" customWidth="1"/>
    <col min="7938" max="7938" width="11.7109375" style="3" customWidth="1"/>
    <col min="7939" max="7939" width="8.28515625" style="3" customWidth="1"/>
    <col min="7940" max="7940" width="9.5703125" style="3" customWidth="1"/>
    <col min="7941" max="7941" width="7.7109375" style="3" customWidth="1"/>
    <col min="7942" max="7942" width="9.7109375" style="3" customWidth="1"/>
    <col min="7943" max="7943" width="6.42578125" style="3" customWidth="1"/>
    <col min="7944" max="7944" width="4.7109375" style="3" customWidth="1"/>
    <col min="7945" max="7945" width="0.140625" style="3" customWidth="1"/>
    <col min="7946" max="7946" width="12.140625" style="3" bestFit="1" customWidth="1"/>
    <col min="7947" max="7947" width="13.5703125" style="3" bestFit="1" customWidth="1"/>
    <col min="7948" max="7948" width="10.85546875" style="3" bestFit="1" customWidth="1"/>
    <col min="7949" max="8181" width="9.140625" style="3"/>
    <col min="8182" max="8182" width="13" style="3" customWidth="1"/>
    <col min="8183" max="8183" width="39.140625" style="3" customWidth="1"/>
    <col min="8184" max="8184" width="15.42578125" style="3" customWidth="1"/>
    <col min="8185" max="8185" width="13.140625" style="3" customWidth="1"/>
    <col min="8186" max="8186" width="11.140625" style="3" customWidth="1"/>
    <col min="8187" max="8187" width="29" style="3" customWidth="1"/>
    <col min="8188" max="8188" width="9.5703125" style="3" customWidth="1"/>
    <col min="8189" max="8189" width="14.42578125" style="3" customWidth="1"/>
    <col min="8190" max="8190" width="11" style="3" customWidth="1"/>
    <col min="8191" max="8191" width="12.7109375" style="3" customWidth="1"/>
    <col min="8192" max="8192" width="10.5703125" style="3" customWidth="1"/>
    <col min="8193" max="8193" width="14.42578125" style="3" customWidth="1"/>
    <col min="8194" max="8194" width="11.7109375" style="3" customWidth="1"/>
    <col min="8195" max="8195" width="8.28515625" style="3" customWidth="1"/>
    <col min="8196" max="8196" width="9.5703125" style="3" customWidth="1"/>
    <col min="8197" max="8197" width="7.7109375" style="3" customWidth="1"/>
    <col min="8198" max="8198" width="9.7109375" style="3" customWidth="1"/>
    <col min="8199" max="8199" width="6.42578125" style="3" customWidth="1"/>
    <col min="8200" max="8200" width="4.7109375" style="3" customWidth="1"/>
    <col min="8201" max="8201" width="0.140625" style="3" customWidth="1"/>
    <col min="8202" max="8202" width="12.140625" style="3" bestFit="1" customWidth="1"/>
    <col min="8203" max="8203" width="13.5703125" style="3" bestFit="1" customWidth="1"/>
    <col min="8204" max="8204" width="10.85546875" style="3" bestFit="1" customWidth="1"/>
    <col min="8205" max="8437" width="9.140625" style="3"/>
    <col min="8438" max="8438" width="13" style="3" customWidth="1"/>
    <col min="8439" max="8439" width="39.140625" style="3" customWidth="1"/>
    <col min="8440" max="8440" width="15.42578125" style="3" customWidth="1"/>
    <col min="8441" max="8441" width="13.140625" style="3" customWidth="1"/>
    <col min="8442" max="8442" width="11.140625" style="3" customWidth="1"/>
    <col min="8443" max="8443" width="29" style="3" customWidth="1"/>
    <col min="8444" max="8444" width="9.5703125" style="3" customWidth="1"/>
    <col min="8445" max="8445" width="14.42578125" style="3" customWidth="1"/>
    <col min="8446" max="8446" width="11" style="3" customWidth="1"/>
    <col min="8447" max="8447" width="12.7109375" style="3" customWidth="1"/>
    <col min="8448" max="8448" width="10.5703125" style="3" customWidth="1"/>
    <col min="8449" max="8449" width="14.42578125" style="3" customWidth="1"/>
    <col min="8450" max="8450" width="11.7109375" style="3" customWidth="1"/>
    <col min="8451" max="8451" width="8.28515625" style="3" customWidth="1"/>
    <col min="8452" max="8452" width="9.5703125" style="3" customWidth="1"/>
    <col min="8453" max="8453" width="7.7109375" style="3" customWidth="1"/>
    <col min="8454" max="8454" width="9.7109375" style="3" customWidth="1"/>
    <col min="8455" max="8455" width="6.42578125" style="3" customWidth="1"/>
    <col min="8456" max="8456" width="4.7109375" style="3" customWidth="1"/>
    <col min="8457" max="8457" width="0.140625" style="3" customWidth="1"/>
    <col min="8458" max="8458" width="12.140625" style="3" bestFit="1" customWidth="1"/>
    <col min="8459" max="8459" width="13.5703125" style="3" bestFit="1" customWidth="1"/>
    <col min="8460" max="8460" width="10.85546875" style="3" bestFit="1" customWidth="1"/>
    <col min="8461" max="8693" width="9.140625" style="3"/>
    <col min="8694" max="8694" width="13" style="3" customWidth="1"/>
    <col min="8695" max="8695" width="39.140625" style="3" customWidth="1"/>
    <col min="8696" max="8696" width="15.42578125" style="3" customWidth="1"/>
    <col min="8697" max="8697" width="13.140625" style="3" customWidth="1"/>
    <col min="8698" max="8698" width="11.140625" style="3" customWidth="1"/>
    <col min="8699" max="8699" width="29" style="3" customWidth="1"/>
    <col min="8700" max="8700" width="9.5703125" style="3" customWidth="1"/>
    <col min="8701" max="8701" width="14.42578125" style="3" customWidth="1"/>
    <col min="8702" max="8702" width="11" style="3" customWidth="1"/>
    <col min="8703" max="8703" width="12.7109375" style="3" customWidth="1"/>
    <col min="8704" max="8704" width="10.5703125" style="3" customWidth="1"/>
    <col min="8705" max="8705" width="14.42578125" style="3" customWidth="1"/>
    <col min="8706" max="8706" width="11.7109375" style="3" customWidth="1"/>
    <col min="8707" max="8707" width="8.28515625" style="3" customWidth="1"/>
    <col min="8708" max="8708" width="9.5703125" style="3" customWidth="1"/>
    <col min="8709" max="8709" width="7.7109375" style="3" customWidth="1"/>
    <col min="8710" max="8710" width="9.7109375" style="3" customWidth="1"/>
    <col min="8711" max="8711" width="6.42578125" style="3" customWidth="1"/>
    <col min="8712" max="8712" width="4.7109375" style="3" customWidth="1"/>
    <col min="8713" max="8713" width="0.140625" style="3" customWidth="1"/>
    <col min="8714" max="8714" width="12.140625" style="3" bestFit="1" customWidth="1"/>
    <col min="8715" max="8715" width="13.5703125" style="3" bestFit="1" customWidth="1"/>
    <col min="8716" max="8716" width="10.85546875" style="3" bestFit="1" customWidth="1"/>
    <col min="8717" max="8949" width="9.140625" style="3"/>
    <col min="8950" max="8950" width="13" style="3" customWidth="1"/>
    <col min="8951" max="8951" width="39.140625" style="3" customWidth="1"/>
    <col min="8952" max="8952" width="15.42578125" style="3" customWidth="1"/>
    <col min="8953" max="8953" width="13.140625" style="3" customWidth="1"/>
    <col min="8954" max="8954" width="11.140625" style="3" customWidth="1"/>
    <col min="8955" max="8955" width="29" style="3" customWidth="1"/>
    <col min="8956" max="8956" width="9.5703125" style="3" customWidth="1"/>
    <col min="8957" max="8957" width="14.42578125" style="3" customWidth="1"/>
    <col min="8958" max="8958" width="11" style="3" customWidth="1"/>
    <col min="8959" max="8959" width="12.7109375" style="3" customWidth="1"/>
    <col min="8960" max="8960" width="10.5703125" style="3" customWidth="1"/>
    <col min="8961" max="8961" width="14.42578125" style="3" customWidth="1"/>
    <col min="8962" max="8962" width="11.7109375" style="3" customWidth="1"/>
    <col min="8963" max="8963" width="8.28515625" style="3" customWidth="1"/>
    <col min="8964" max="8964" width="9.5703125" style="3" customWidth="1"/>
    <col min="8965" max="8965" width="7.7109375" style="3" customWidth="1"/>
    <col min="8966" max="8966" width="9.7109375" style="3" customWidth="1"/>
    <col min="8967" max="8967" width="6.42578125" style="3" customWidth="1"/>
    <col min="8968" max="8968" width="4.7109375" style="3" customWidth="1"/>
    <col min="8969" max="8969" width="0.140625" style="3" customWidth="1"/>
    <col min="8970" max="8970" width="12.140625" style="3" bestFit="1" customWidth="1"/>
    <col min="8971" max="8971" width="13.5703125" style="3" bestFit="1" customWidth="1"/>
    <col min="8972" max="8972" width="10.85546875" style="3" bestFit="1" customWidth="1"/>
    <col min="8973" max="9205" width="9.140625" style="3"/>
    <col min="9206" max="9206" width="13" style="3" customWidth="1"/>
    <col min="9207" max="9207" width="39.140625" style="3" customWidth="1"/>
    <col min="9208" max="9208" width="15.42578125" style="3" customWidth="1"/>
    <col min="9209" max="9209" width="13.140625" style="3" customWidth="1"/>
    <col min="9210" max="9210" width="11.140625" style="3" customWidth="1"/>
    <col min="9211" max="9211" width="29" style="3" customWidth="1"/>
    <col min="9212" max="9212" width="9.5703125" style="3" customWidth="1"/>
    <col min="9213" max="9213" width="14.42578125" style="3" customWidth="1"/>
    <col min="9214" max="9214" width="11" style="3" customWidth="1"/>
    <col min="9215" max="9215" width="12.7109375" style="3" customWidth="1"/>
    <col min="9216" max="9216" width="10.5703125" style="3" customWidth="1"/>
    <col min="9217" max="9217" width="14.42578125" style="3" customWidth="1"/>
    <col min="9218" max="9218" width="11.7109375" style="3" customWidth="1"/>
    <col min="9219" max="9219" width="8.28515625" style="3" customWidth="1"/>
    <col min="9220" max="9220" width="9.5703125" style="3" customWidth="1"/>
    <col min="9221" max="9221" width="7.7109375" style="3" customWidth="1"/>
    <col min="9222" max="9222" width="9.7109375" style="3" customWidth="1"/>
    <col min="9223" max="9223" width="6.42578125" style="3" customWidth="1"/>
    <col min="9224" max="9224" width="4.7109375" style="3" customWidth="1"/>
    <col min="9225" max="9225" width="0.140625" style="3" customWidth="1"/>
    <col min="9226" max="9226" width="12.140625" style="3" bestFit="1" customWidth="1"/>
    <col min="9227" max="9227" width="13.5703125" style="3" bestFit="1" customWidth="1"/>
    <col min="9228" max="9228" width="10.85546875" style="3" bestFit="1" customWidth="1"/>
    <col min="9229" max="9461" width="9.140625" style="3"/>
    <col min="9462" max="9462" width="13" style="3" customWidth="1"/>
    <col min="9463" max="9463" width="39.140625" style="3" customWidth="1"/>
    <col min="9464" max="9464" width="15.42578125" style="3" customWidth="1"/>
    <col min="9465" max="9465" width="13.140625" style="3" customWidth="1"/>
    <col min="9466" max="9466" width="11.140625" style="3" customWidth="1"/>
    <col min="9467" max="9467" width="29" style="3" customWidth="1"/>
    <col min="9468" max="9468" width="9.5703125" style="3" customWidth="1"/>
    <col min="9469" max="9469" width="14.42578125" style="3" customWidth="1"/>
    <col min="9470" max="9470" width="11" style="3" customWidth="1"/>
    <col min="9471" max="9471" width="12.7109375" style="3" customWidth="1"/>
    <col min="9472" max="9472" width="10.5703125" style="3" customWidth="1"/>
    <col min="9473" max="9473" width="14.42578125" style="3" customWidth="1"/>
    <col min="9474" max="9474" width="11.7109375" style="3" customWidth="1"/>
    <col min="9475" max="9475" width="8.28515625" style="3" customWidth="1"/>
    <col min="9476" max="9476" width="9.5703125" style="3" customWidth="1"/>
    <col min="9477" max="9477" width="7.7109375" style="3" customWidth="1"/>
    <col min="9478" max="9478" width="9.7109375" style="3" customWidth="1"/>
    <col min="9479" max="9479" width="6.42578125" style="3" customWidth="1"/>
    <col min="9480" max="9480" width="4.7109375" style="3" customWidth="1"/>
    <col min="9481" max="9481" width="0.140625" style="3" customWidth="1"/>
    <col min="9482" max="9482" width="12.140625" style="3" bestFit="1" customWidth="1"/>
    <col min="9483" max="9483" width="13.5703125" style="3" bestFit="1" customWidth="1"/>
    <col min="9484" max="9484" width="10.85546875" style="3" bestFit="1" customWidth="1"/>
    <col min="9485" max="9717" width="9.140625" style="3"/>
    <col min="9718" max="9718" width="13" style="3" customWidth="1"/>
    <col min="9719" max="9719" width="39.140625" style="3" customWidth="1"/>
    <col min="9720" max="9720" width="15.42578125" style="3" customWidth="1"/>
    <col min="9721" max="9721" width="13.140625" style="3" customWidth="1"/>
    <col min="9722" max="9722" width="11.140625" style="3" customWidth="1"/>
    <col min="9723" max="9723" width="29" style="3" customWidth="1"/>
    <col min="9724" max="9724" width="9.5703125" style="3" customWidth="1"/>
    <col min="9725" max="9725" width="14.42578125" style="3" customWidth="1"/>
    <col min="9726" max="9726" width="11" style="3" customWidth="1"/>
    <col min="9727" max="9727" width="12.7109375" style="3" customWidth="1"/>
    <col min="9728" max="9728" width="10.5703125" style="3" customWidth="1"/>
    <col min="9729" max="9729" width="14.42578125" style="3" customWidth="1"/>
    <col min="9730" max="9730" width="11.7109375" style="3" customWidth="1"/>
    <col min="9731" max="9731" width="8.28515625" style="3" customWidth="1"/>
    <col min="9732" max="9732" width="9.5703125" style="3" customWidth="1"/>
    <col min="9733" max="9733" width="7.7109375" style="3" customWidth="1"/>
    <col min="9734" max="9734" width="9.7109375" style="3" customWidth="1"/>
    <col min="9735" max="9735" width="6.42578125" style="3" customWidth="1"/>
    <col min="9736" max="9736" width="4.7109375" style="3" customWidth="1"/>
    <col min="9737" max="9737" width="0.140625" style="3" customWidth="1"/>
    <col min="9738" max="9738" width="12.140625" style="3" bestFit="1" customWidth="1"/>
    <col min="9739" max="9739" width="13.5703125" style="3" bestFit="1" customWidth="1"/>
    <col min="9740" max="9740" width="10.85546875" style="3" bestFit="1" customWidth="1"/>
    <col min="9741" max="9973" width="9.140625" style="3"/>
    <col min="9974" max="9974" width="13" style="3" customWidth="1"/>
    <col min="9975" max="9975" width="39.140625" style="3" customWidth="1"/>
    <col min="9976" max="9976" width="15.42578125" style="3" customWidth="1"/>
    <col min="9977" max="9977" width="13.140625" style="3" customWidth="1"/>
    <col min="9978" max="9978" width="11.140625" style="3" customWidth="1"/>
    <col min="9979" max="9979" width="29" style="3" customWidth="1"/>
    <col min="9980" max="9980" width="9.5703125" style="3" customWidth="1"/>
    <col min="9981" max="9981" width="14.42578125" style="3" customWidth="1"/>
    <col min="9982" max="9982" width="11" style="3" customWidth="1"/>
    <col min="9983" max="9983" width="12.7109375" style="3" customWidth="1"/>
    <col min="9984" max="9984" width="10.5703125" style="3" customWidth="1"/>
    <col min="9985" max="9985" width="14.42578125" style="3" customWidth="1"/>
    <col min="9986" max="9986" width="11.7109375" style="3" customWidth="1"/>
    <col min="9987" max="9987" width="8.28515625" style="3" customWidth="1"/>
    <col min="9988" max="9988" width="9.5703125" style="3" customWidth="1"/>
    <col min="9989" max="9989" width="7.7109375" style="3" customWidth="1"/>
    <col min="9990" max="9990" width="9.7109375" style="3" customWidth="1"/>
    <col min="9991" max="9991" width="6.42578125" style="3" customWidth="1"/>
    <col min="9992" max="9992" width="4.7109375" style="3" customWidth="1"/>
    <col min="9993" max="9993" width="0.140625" style="3" customWidth="1"/>
    <col min="9994" max="9994" width="12.140625" style="3" bestFit="1" customWidth="1"/>
    <col min="9995" max="9995" width="13.5703125" style="3" bestFit="1" customWidth="1"/>
    <col min="9996" max="9996" width="10.85546875" style="3" bestFit="1" customWidth="1"/>
    <col min="9997" max="10229" width="9.140625" style="3"/>
    <col min="10230" max="10230" width="13" style="3" customWidth="1"/>
    <col min="10231" max="10231" width="39.140625" style="3" customWidth="1"/>
    <col min="10232" max="10232" width="15.42578125" style="3" customWidth="1"/>
    <col min="10233" max="10233" width="13.140625" style="3" customWidth="1"/>
    <col min="10234" max="10234" width="11.140625" style="3" customWidth="1"/>
    <col min="10235" max="10235" width="29" style="3" customWidth="1"/>
    <col min="10236" max="10236" width="9.5703125" style="3" customWidth="1"/>
    <col min="10237" max="10237" width="14.42578125" style="3" customWidth="1"/>
    <col min="10238" max="10238" width="11" style="3" customWidth="1"/>
    <col min="10239" max="10239" width="12.7109375" style="3" customWidth="1"/>
    <col min="10240" max="10240" width="10.5703125" style="3" customWidth="1"/>
    <col min="10241" max="10241" width="14.42578125" style="3" customWidth="1"/>
    <col min="10242" max="10242" width="11.7109375" style="3" customWidth="1"/>
    <col min="10243" max="10243" width="8.28515625" style="3" customWidth="1"/>
    <col min="10244" max="10244" width="9.5703125" style="3" customWidth="1"/>
    <col min="10245" max="10245" width="7.7109375" style="3" customWidth="1"/>
    <col min="10246" max="10246" width="9.7109375" style="3" customWidth="1"/>
    <col min="10247" max="10247" width="6.42578125" style="3" customWidth="1"/>
    <col min="10248" max="10248" width="4.7109375" style="3" customWidth="1"/>
    <col min="10249" max="10249" width="0.140625" style="3" customWidth="1"/>
    <col min="10250" max="10250" width="12.140625" style="3" bestFit="1" customWidth="1"/>
    <col min="10251" max="10251" width="13.5703125" style="3" bestFit="1" customWidth="1"/>
    <col min="10252" max="10252" width="10.85546875" style="3" bestFit="1" customWidth="1"/>
    <col min="10253" max="10485" width="9.140625" style="3"/>
    <col min="10486" max="10486" width="13" style="3" customWidth="1"/>
    <col min="10487" max="10487" width="39.140625" style="3" customWidth="1"/>
    <col min="10488" max="10488" width="15.42578125" style="3" customWidth="1"/>
    <col min="10489" max="10489" width="13.140625" style="3" customWidth="1"/>
    <col min="10490" max="10490" width="11.140625" style="3" customWidth="1"/>
    <col min="10491" max="10491" width="29" style="3" customWidth="1"/>
    <col min="10492" max="10492" width="9.5703125" style="3" customWidth="1"/>
    <col min="10493" max="10493" width="14.42578125" style="3" customWidth="1"/>
    <col min="10494" max="10494" width="11" style="3" customWidth="1"/>
    <col min="10495" max="10495" width="12.7109375" style="3" customWidth="1"/>
    <col min="10496" max="10496" width="10.5703125" style="3" customWidth="1"/>
    <col min="10497" max="10497" width="14.42578125" style="3" customWidth="1"/>
    <col min="10498" max="10498" width="11.7109375" style="3" customWidth="1"/>
    <col min="10499" max="10499" width="8.28515625" style="3" customWidth="1"/>
    <col min="10500" max="10500" width="9.5703125" style="3" customWidth="1"/>
    <col min="10501" max="10501" width="7.7109375" style="3" customWidth="1"/>
    <col min="10502" max="10502" width="9.7109375" style="3" customWidth="1"/>
    <col min="10503" max="10503" width="6.42578125" style="3" customWidth="1"/>
    <col min="10504" max="10504" width="4.7109375" style="3" customWidth="1"/>
    <col min="10505" max="10505" width="0.140625" style="3" customWidth="1"/>
    <col min="10506" max="10506" width="12.140625" style="3" bestFit="1" customWidth="1"/>
    <col min="10507" max="10507" width="13.5703125" style="3" bestFit="1" customWidth="1"/>
    <col min="10508" max="10508" width="10.85546875" style="3" bestFit="1" customWidth="1"/>
    <col min="10509" max="10741" width="9.140625" style="3"/>
    <col min="10742" max="10742" width="13" style="3" customWidth="1"/>
    <col min="10743" max="10743" width="39.140625" style="3" customWidth="1"/>
    <col min="10744" max="10744" width="15.42578125" style="3" customWidth="1"/>
    <col min="10745" max="10745" width="13.140625" style="3" customWidth="1"/>
    <col min="10746" max="10746" width="11.140625" style="3" customWidth="1"/>
    <col min="10747" max="10747" width="29" style="3" customWidth="1"/>
    <col min="10748" max="10748" width="9.5703125" style="3" customWidth="1"/>
    <col min="10749" max="10749" width="14.42578125" style="3" customWidth="1"/>
    <col min="10750" max="10750" width="11" style="3" customWidth="1"/>
    <col min="10751" max="10751" width="12.7109375" style="3" customWidth="1"/>
    <col min="10752" max="10752" width="10.5703125" style="3" customWidth="1"/>
    <col min="10753" max="10753" width="14.42578125" style="3" customWidth="1"/>
    <col min="10754" max="10754" width="11.7109375" style="3" customWidth="1"/>
    <col min="10755" max="10755" width="8.28515625" style="3" customWidth="1"/>
    <col min="10756" max="10756" width="9.5703125" style="3" customWidth="1"/>
    <col min="10757" max="10757" width="7.7109375" style="3" customWidth="1"/>
    <col min="10758" max="10758" width="9.7109375" style="3" customWidth="1"/>
    <col min="10759" max="10759" width="6.42578125" style="3" customWidth="1"/>
    <col min="10760" max="10760" width="4.7109375" style="3" customWidth="1"/>
    <col min="10761" max="10761" width="0.140625" style="3" customWidth="1"/>
    <col min="10762" max="10762" width="12.140625" style="3" bestFit="1" customWidth="1"/>
    <col min="10763" max="10763" width="13.5703125" style="3" bestFit="1" customWidth="1"/>
    <col min="10764" max="10764" width="10.85546875" style="3" bestFit="1" customWidth="1"/>
    <col min="10765" max="10997" width="9.140625" style="3"/>
    <col min="10998" max="10998" width="13" style="3" customWidth="1"/>
    <col min="10999" max="10999" width="39.140625" style="3" customWidth="1"/>
    <col min="11000" max="11000" width="15.42578125" style="3" customWidth="1"/>
    <col min="11001" max="11001" width="13.140625" style="3" customWidth="1"/>
    <col min="11002" max="11002" width="11.140625" style="3" customWidth="1"/>
    <col min="11003" max="11003" width="29" style="3" customWidth="1"/>
    <col min="11004" max="11004" width="9.5703125" style="3" customWidth="1"/>
    <col min="11005" max="11005" width="14.42578125" style="3" customWidth="1"/>
    <col min="11006" max="11006" width="11" style="3" customWidth="1"/>
    <col min="11007" max="11007" width="12.7109375" style="3" customWidth="1"/>
    <col min="11008" max="11008" width="10.5703125" style="3" customWidth="1"/>
    <col min="11009" max="11009" width="14.42578125" style="3" customWidth="1"/>
    <col min="11010" max="11010" width="11.7109375" style="3" customWidth="1"/>
    <col min="11011" max="11011" width="8.28515625" style="3" customWidth="1"/>
    <col min="11012" max="11012" width="9.5703125" style="3" customWidth="1"/>
    <col min="11013" max="11013" width="7.7109375" style="3" customWidth="1"/>
    <col min="11014" max="11014" width="9.7109375" style="3" customWidth="1"/>
    <col min="11015" max="11015" width="6.42578125" style="3" customWidth="1"/>
    <col min="11016" max="11016" width="4.7109375" style="3" customWidth="1"/>
    <col min="11017" max="11017" width="0.140625" style="3" customWidth="1"/>
    <col min="11018" max="11018" width="12.140625" style="3" bestFit="1" customWidth="1"/>
    <col min="11019" max="11019" width="13.5703125" style="3" bestFit="1" customWidth="1"/>
    <col min="11020" max="11020" width="10.85546875" style="3" bestFit="1" customWidth="1"/>
    <col min="11021" max="11253" width="9.140625" style="3"/>
    <col min="11254" max="11254" width="13" style="3" customWidth="1"/>
    <col min="11255" max="11255" width="39.140625" style="3" customWidth="1"/>
    <col min="11256" max="11256" width="15.42578125" style="3" customWidth="1"/>
    <col min="11257" max="11257" width="13.140625" style="3" customWidth="1"/>
    <col min="11258" max="11258" width="11.140625" style="3" customWidth="1"/>
    <col min="11259" max="11259" width="29" style="3" customWidth="1"/>
    <col min="11260" max="11260" width="9.5703125" style="3" customWidth="1"/>
    <col min="11261" max="11261" width="14.42578125" style="3" customWidth="1"/>
    <col min="11262" max="11262" width="11" style="3" customWidth="1"/>
    <col min="11263" max="11263" width="12.7109375" style="3" customWidth="1"/>
    <col min="11264" max="11264" width="10.5703125" style="3" customWidth="1"/>
    <col min="11265" max="11265" width="14.42578125" style="3" customWidth="1"/>
    <col min="11266" max="11266" width="11.7109375" style="3" customWidth="1"/>
    <col min="11267" max="11267" width="8.28515625" style="3" customWidth="1"/>
    <col min="11268" max="11268" width="9.5703125" style="3" customWidth="1"/>
    <col min="11269" max="11269" width="7.7109375" style="3" customWidth="1"/>
    <col min="11270" max="11270" width="9.7109375" style="3" customWidth="1"/>
    <col min="11271" max="11271" width="6.42578125" style="3" customWidth="1"/>
    <col min="11272" max="11272" width="4.7109375" style="3" customWidth="1"/>
    <col min="11273" max="11273" width="0.140625" style="3" customWidth="1"/>
    <col min="11274" max="11274" width="12.140625" style="3" bestFit="1" customWidth="1"/>
    <col min="11275" max="11275" width="13.5703125" style="3" bestFit="1" customWidth="1"/>
    <col min="11276" max="11276" width="10.85546875" style="3" bestFit="1" customWidth="1"/>
    <col min="11277" max="11509" width="9.140625" style="3"/>
    <col min="11510" max="11510" width="13" style="3" customWidth="1"/>
    <col min="11511" max="11511" width="39.140625" style="3" customWidth="1"/>
    <col min="11512" max="11512" width="15.42578125" style="3" customWidth="1"/>
    <col min="11513" max="11513" width="13.140625" style="3" customWidth="1"/>
    <col min="11514" max="11514" width="11.140625" style="3" customWidth="1"/>
    <col min="11515" max="11515" width="29" style="3" customWidth="1"/>
    <col min="11516" max="11516" width="9.5703125" style="3" customWidth="1"/>
    <col min="11517" max="11517" width="14.42578125" style="3" customWidth="1"/>
    <col min="11518" max="11518" width="11" style="3" customWidth="1"/>
    <col min="11519" max="11519" width="12.7109375" style="3" customWidth="1"/>
    <col min="11520" max="11520" width="10.5703125" style="3" customWidth="1"/>
    <col min="11521" max="11521" width="14.42578125" style="3" customWidth="1"/>
    <col min="11522" max="11522" width="11.7109375" style="3" customWidth="1"/>
    <col min="11523" max="11523" width="8.28515625" style="3" customWidth="1"/>
    <col min="11524" max="11524" width="9.5703125" style="3" customWidth="1"/>
    <col min="11525" max="11525" width="7.7109375" style="3" customWidth="1"/>
    <col min="11526" max="11526" width="9.7109375" style="3" customWidth="1"/>
    <col min="11527" max="11527" width="6.42578125" style="3" customWidth="1"/>
    <col min="11528" max="11528" width="4.7109375" style="3" customWidth="1"/>
    <col min="11529" max="11529" width="0.140625" style="3" customWidth="1"/>
    <col min="11530" max="11530" width="12.140625" style="3" bestFit="1" customWidth="1"/>
    <col min="11531" max="11531" width="13.5703125" style="3" bestFit="1" customWidth="1"/>
    <col min="11532" max="11532" width="10.85546875" style="3" bestFit="1" customWidth="1"/>
    <col min="11533" max="11765" width="9.140625" style="3"/>
    <col min="11766" max="11766" width="13" style="3" customWidth="1"/>
    <col min="11767" max="11767" width="39.140625" style="3" customWidth="1"/>
    <col min="11768" max="11768" width="15.42578125" style="3" customWidth="1"/>
    <col min="11769" max="11769" width="13.140625" style="3" customWidth="1"/>
    <col min="11770" max="11770" width="11.140625" style="3" customWidth="1"/>
    <col min="11771" max="11771" width="29" style="3" customWidth="1"/>
    <col min="11772" max="11772" width="9.5703125" style="3" customWidth="1"/>
    <col min="11773" max="11773" width="14.42578125" style="3" customWidth="1"/>
    <col min="11774" max="11774" width="11" style="3" customWidth="1"/>
    <col min="11775" max="11775" width="12.7109375" style="3" customWidth="1"/>
    <col min="11776" max="11776" width="10.5703125" style="3" customWidth="1"/>
    <col min="11777" max="11777" width="14.42578125" style="3" customWidth="1"/>
    <col min="11778" max="11778" width="11.7109375" style="3" customWidth="1"/>
    <col min="11779" max="11779" width="8.28515625" style="3" customWidth="1"/>
    <col min="11780" max="11780" width="9.5703125" style="3" customWidth="1"/>
    <col min="11781" max="11781" width="7.7109375" style="3" customWidth="1"/>
    <col min="11782" max="11782" width="9.7109375" style="3" customWidth="1"/>
    <col min="11783" max="11783" width="6.42578125" style="3" customWidth="1"/>
    <col min="11784" max="11784" width="4.7109375" style="3" customWidth="1"/>
    <col min="11785" max="11785" width="0.140625" style="3" customWidth="1"/>
    <col min="11786" max="11786" width="12.140625" style="3" bestFit="1" customWidth="1"/>
    <col min="11787" max="11787" width="13.5703125" style="3" bestFit="1" customWidth="1"/>
    <col min="11788" max="11788" width="10.85546875" style="3" bestFit="1" customWidth="1"/>
    <col min="11789" max="12021" width="9.140625" style="3"/>
    <col min="12022" max="12022" width="13" style="3" customWidth="1"/>
    <col min="12023" max="12023" width="39.140625" style="3" customWidth="1"/>
    <col min="12024" max="12024" width="15.42578125" style="3" customWidth="1"/>
    <col min="12025" max="12025" width="13.140625" style="3" customWidth="1"/>
    <col min="12026" max="12026" width="11.140625" style="3" customWidth="1"/>
    <col min="12027" max="12027" width="29" style="3" customWidth="1"/>
    <col min="12028" max="12028" width="9.5703125" style="3" customWidth="1"/>
    <col min="12029" max="12029" width="14.42578125" style="3" customWidth="1"/>
    <col min="12030" max="12030" width="11" style="3" customWidth="1"/>
    <col min="12031" max="12031" width="12.7109375" style="3" customWidth="1"/>
    <col min="12032" max="12032" width="10.5703125" style="3" customWidth="1"/>
    <col min="12033" max="12033" width="14.42578125" style="3" customWidth="1"/>
    <col min="12034" max="12034" width="11.7109375" style="3" customWidth="1"/>
    <col min="12035" max="12035" width="8.28515625" style="3" customWidth="1"/>
    <col min="12036" max="12036" width="9.5703125" style="3" customWidth="1"/>
    <col min="12037" max="12037" width="7.7109375" style="3" customWidth="1"/>
    <col min="12038" max="12038" width="9.7109375" style="3" customWidth="1"/>
    <col min="12039" max="12039" width="6.42578125" style="3" customWidth="1"/>
    <col min="12040" max="12040" width="4.7109375" style="3" customWidth="1"/>
    <col min="12041" max="12041" width="0.140625" style="3" customWidth="1"/>
    <col min="12042" max="12042" width="12.140625" style="3" bestFit="1" customWidth="1"/>
    <col min="12043" max="12043" width="13.5703125" style="3" bestFit="1" customWidth="1"/>
    <col min="12044" max="12044" width="10.85546875" style="3" bestFit="1" customWidth="1"/>
    <col min="12045" max="12277" width="9.140625" style="3"/>
    <col min="12278" max="12278" width="13" style="3" customWidth="1"/>
    <col min="12279" max="12279" width="39.140625" style="3" customWidth="1"/>
    <col min="12280" max="12280" width="15.42578125" style="3" customWidth="1"/>
    <col min="12281" max="12281" width="13.140625" style="3" customWidth="1"/>
    <col min="12282" max="12282" width="11.140625" style="3" customWidth="1"/>
    <col min="12283" max="12283" width="29" style="3" customWidth="1"/>
    <col min="12284" max="12284" width="9.5703125" style="3" customWidth="1"/>
    <col min="12285" max="12285" width="14.42578125" style="3" customWidth="1"/>
    <col min="12286" max="12286" width="11" style="3" customWidth="1"/>
    <col min="12287" max="12287" width="12.7109375" style="3" customWidth="1"/>
    <col min="12288" max="12288" width="10.5703125" style="3" customWidth="1"/>
    <col min="12289" max="12289" width="14.42578125" style="3" customWidth="1"/>
    <col min="12290" max="12290" width="11.7109375" style="3" customWidth="1"/>
    <col min="12291" max="12291" width="8.28515625" style="3" customWidth="1"/>
    <col min="12292" max="12292" width="9.5703125" style="3" customWidth="1"/>
    <col min="12293" max="12293" width="7.7109375" style="3" customWidth="1"/>
    <col min="12294" max="12294" width="9.7109375" style="3" customWidth="1"/>
    <col min="12295" max="12295" width="6.42578125" style="3" customWidth="1"/>
    <col min="12296" max="12296" width="4.7109375" style="3" customWidth="1"/>
    <col min="12297" max="12297" width="0.140625" style="3" customWidth="1"/>
    <col min="12298" max="12298" width="12.140625" style="3" bestFit="1" customWidth="1"/>
    <col min="12299" max="12299" width="13.5703125" style="3" bestFit="1" customWidth="1"/>
    <col min="12300" max="12300" width="10.85546875" style="3" bestFit="1" customWidth="1"/>
    <col min="12301" max="12533" width="9.140625" style="3"/>
    <col min="12534" max="12534" width="13" style="3" customWidth="1"/>
    <col min="12535" max="12535" width="39.140625" style="3" customWidth="1"/>
    <col min="12536" max="12536" width="15.42578125" style="3" customWidth="1"/>
    <col min="12537" max="12537" width="13.140625" style="3" customWidth="1"/>
    <col min="12538" max="12538" width="11.140625" style="3" customWidth="1"/>
    <col min="12539" max="12539" width="29" style="3" customWidth="1"/>
    <col min="12540" max="12540" width="9.5703125" style="3" customWidth="1"/>
    <col min="12541" max="12541" width="14.42578125" style="3" customWidth="1"/>
    <col min="12542" max="12542" width="11" style="3" customWidth="1"/>
    <col min="12543" max="12543" width="12.7109375" style="3" customWidth="1"/>
    <col min="12544" max="12544" width="10.5703125" style="3" customWidth="1"/>
    <col min="12545" max="12545" width="14.42578125" style="3" customWidth="1"/>
    <col min="12546" max="12546" width="11.7109375" style="3" customWidth="1"/>
    <col min="12547" max="12547" width="8.28515625" style="3" customWidth="1"/>
    <col min="12548" max="12548" width="9.5703125" style="3" customWidth="1"/>
    <col min="12549" max="12549" width="7.7109375" style="3" customWidth="1"/>
    <col min="12550" max="12550" width="9.7109375" style="3" customWidth="1"/>
    <col min="12551" max="12551" width="6.42578125" style="3" customWidth="1"/>
    <col min="12552" max="12552" width="4.7109375" style="3" customWidth="1"/>
    <col min="12553" max="12553" width="0.140625" style="3" customWidth="1"/>
    <col min="12554" max="12554" width="12.140625" style="3" bestFit="1" customWidth="1"/>
    <col min="12555" max="12555" width="13.5703125" style="3" bestFit="1" customWidth="1"/>
    <col min="12556" max="12556" width="10.85546875" style="3" bestFit="1" customWidth="1"/>
    <col min="12557" max="12789" width="9.140625" style="3"/>
    <col min="12790" max="12790" width="13" style="3" customWidth="1"/>
    <col min="12791" max="12791" width="39.140625" style="3" customWidth="1"/>
    <col min="12792" max="12792" width="15.42578125" style="3" customWidth="1"/>
    <col min="12793" max="12793" width="13.140625" style="3" customWidth="1"/>
    <col min="12794" max="12794" width="11.140625" style="3" customWidth="1"/>
    <col min="12795" max="12795" width="29" style="3" customWidth="1"/>
    <col min="12796" max="12796" width="9.5703125" style="3" customWidth="1"/>
    <col min="12797" max="12797" width="14.42578125" style="3" customWidth="1"/>
    <col min="12798" max="12798" width="11" style="3" customWidth="1"/>
    <col min="12799" max="12799" width="12.7109375" style="3" customWidth="1"/>
    <col min="12800" max="12800" width="10.5703125" style="3" customWidth="1"/>
    <col min="12801" max="12801" width="14.42578125" style="3" customWidth="1"/>
    <col min="12802" max="12802" width="11.7109375" style="3" customWidth="1"/>
    <col min="12803" max="12803" width="8.28515625" style="3" customWidth="1"/>
    <col min="12804" max="12804" width="9.5703125" style="3" customWidth="1"/>
    <col min="12805" max="12805" width="7.7109375" style="3" customWidth="1"/>
    <col min="12806" max="12806" width="9.7109375" style="3" customWidth="1"/>
    <col min="12807" max="12807" width="6.42578125" style="3" customWidth="1"/>
    <col min="12808" max="12808" width="4.7109375" style="3" customWidth="1"/>
    <col min="12809" max="12809" width="0.140625" style="3" customWidth="1"/>
    <col min="12810" max="12810" width="12.140625" style="3" bestFit="1" customWidth="1"/>
    <col min="12811" max="12811" width="13.5703125" style="3" bestFit="1" customWidth="1"/>
    <col min="12812" max="12812" width="10.85546875" style="3" bestFit="1" customWidth="1"/>
    <col min="12813" max="13045" width="9.140625" style="3"/>
    <col min="13046" max="13046" width="13" style="3" customWidth="1"/>
    <col min="13047" max="13047" width="39.140625" style="3" customWidth="1"/>
    <col min="13048" max="13048" width="15.42578125" style="3" customWidth="1"/>
    <col min="13049" max="13049" width="13.140625" style="3" customWidth="1"/>
    <col min="13050" max="13050" width="11.140625" style="3" customWidth="1"/>
    <col min="13051" max="13051" width="29" style="3" customWidth="1"/>
    <col min="13052" max="13052" width="9.5703125" style="3" customWidth="1"/>
    <col min="13053" max="13053" width="14.42578125" style="3" customWidth="1"/>
    <col min="13054" max="13054" width="11" style="3" customWidth="1"/>
    <col min="13055" max="13055" width="12.7109375" style="3" customWidth="1"/>
    <col min="13056" max="13056" width="10.5703125" style="3" customWidth="1"/>
    <col min="13057" max="13057" width="14.42578125" style="3" customWidth="1"/>
    <col min="13058" max="13058" width="11.7109375" style="3" customWidth="1"/>
    <col min="13059" max="13059" width="8.28515625" style="3" customWidth="1"/>
    <col min="13060" max="13060" width="9.5703125" style="3" customWidth="1"/>
    <col min="13061" max="13061" width="7.7109375" style="3" customWidth="1"/>
    <col min="13062" max="13062" width="9.7109375" style="3" customWidth="1"/>
    <col min="13063" max="13063" width="6.42578125" style="3" customWidth="1"/>
    <col min="13064" max="13064" width="4.7109375" style="3" customWidth="1"/>
    <col min="13065" max="13065" width="0.140625" style="3" customWidth="1"/>
    <col min="13066" max="13066" width="12.140625" style="3" bestFit="1" customWidth="1"/>
    <col min="13067" max="13067" width="13.5703125" style="3" bestFit="1" customWidth="1"/>
    <col min="13068" max="13068" width="10.85546875" style="3" bestFit="1" customWidth="1"/>
    <col min="13069" max="13301" width="9.140625" style="3"/>
    <col min="13302" max="13302" width="13" style="3" customWidth="1"/>
    <col min="13303" max="13303" width="39.140625" style="3" customWidth="1"/>
    <col min="13304" max="13304" width="15.42578125" style="3" customWidth="1"/>
    <col min="13305" max="13305" width="13.140625" style="3" customWidth="1"/>
    <col min="13306" max="13306" width="11.140625" style="3" customWidth="1"/>
    <col min="13307" max="13307" width="29" style="3" customWidth="1"/>
    <col min="13308" max="13308" width="9.5703125" style="3" customWidth="1"/>
    <col min="13309" max="13309" width="14.42578125" style="3" customWidth="1"/>
    <col min="13310" max="13310" width="11" style="3" customWidth="1"/>
    <col min="13311" max="13311" width="12.7109375" style="3" customWidth="1"/>
    <col min="13312" max="13312" width="10.5703125" style="3" customWidth="1"/>
    <col min="13313" max="13313" width="14.42578125" style="3" customWidth="1"/>
    <col min="13314" max="13314" width="11.7109375" style="3" customWidth="1"/>
    <col min="13315" max="13315" width="8.28515625" style="3" customWidth="1"/>
    <col min="13316" max="13316" width="9.5703125" style="3" customWidth="1"/>
    <col min="13317" max="13317" width="7.7109375" style="3" customWidth="1"/>
    <col min="13318" max="13318" width="9.7109375" style="3" customWidth="1"/>
    <col min="13319" max="13319" width="6.42578125" style="3" customWidth="1"/>
    <col min="13320" max="13320" width="4.7109375" style="3" customWidth="1"/>
    <col min="13321" max="13321" width="0.140625" style="3" customWidth="1"/>
    <col min="13322" max="13322" width="12.140625" style="3" bestFit="1" customWidth="1"/>
    <col min="13323" max="13323" width="13.5703125" style="3" bestFit="1" customWidth="1"/>
    <col min="13324" max="13324" width="10.85546875" style="3" bestFit="1" customWidth="1"/>
    <col min="13325" max="13557" width="9.140625" style="3"/>
    <col min="13558" max="13558" width="13" style="3" customWidth="1"/>
    <col min="13559" max="13559" width="39.140625" style="3" customWidth="1"/>
    <col min="13560" max="13560" width="15.42578125" style="3" customWidth="1"/>
    <col min="13561" max="13561" width="13.140625" style="3" customWidth="1"/>
    <col min="13562" max="13562" width="11.140625" style="3" customWidth="1"/>
    <col min="13563" max="13563" width="29" style="3" customWidth="1"/>
    <col min="13564" max="13564" width="9.5703125" style="3" customWidth="1"/>
    <col min="13565" max="13565" width="14.42578125" style="3" customWidth="1"/>
    <col min="13566" max="13566" width="11" style="3" customWidth="1"/>
    <col min="13567" max="13567" width="12.7109375" style="3" customWidth="1"/>
    <col min="13568" max="13568" width="10.5703125" style="3" customWidth="1"/>
    <col min="13569" max="13569" width="14.42578125" style="3" customWidth="1"/>
    <col min="13570" max="13570" width="11.7109375" style="3" customWidth="1"/>
    <col min="13571" max="13571" width="8.28515625" style="3" customWidth="1"/>
    <col min="13572" max="13572" width="9.5703125" style="3" customWidth="1"/>
    <col min="13573" max="13573" width="7.7109375" style="3" customWidth="1"/>
    <col min="13574" max="13574" width="9.7109375" style="3" customWidth="1"/>
    <col min="13575" max="13575" width="6.42578125" style="3" customWidth="1"/>
    <col min="13576" max="13576" width="4.7109375" style="3" customWidth="1"/>
    <col min="13577" max="13577" width="0.140625" style="3" customWidth="1"/>
    <col min="13578" max="13578" width="12.140625" style="3" bestFit="1" customWidth="1"/>
    <col min="13579" max="13579" width="13.5703125" style="3" bestFit="1" customWidth="1"/>
    <col min="13580" max="13580" width="10.85546875" style="3" bestFit="1" customWidth="1"/>
    <col min="13581" max="13813" width="9.140625" style="3"/>
    <col min="13814" max="13814" width="13" style="3" customWidth="1"/>
    <col min="13815" max="13815" width="39.140625" style="3" customWidth="1"/>
    <col min="13816" max="13816" width="15.42578125" style="3" customWidth="1"/>
    <col min="13817" max="13817" width="13.140625" style="3" customWidth="1"/>
    <col min="13818" max="13818" width="11.140625" style="3" customWidth="1"/>
    <col min="13819" max="13819" width="29" style="3" customWidth="1"/>
    <col min="13820" max="13820" width="9.5703125" style="3" customWidth="1"/>
    <col min="13821" max="13821" width="14.42578125" style="3" customWidth="1"/>
    <col min="13822" max="13822" width="11" style="3" customWidth="1"/>
    <col min="13823" max="13823" width="12.7109375" style="3" customWidth="1"/>
    <col min="13824" max="13824" width="10.5703125" style="3" customWidth="1"/>
    <col min="13825" max="13825" width="14.42578125" style="3" customWidth="1"/>
    <col min="13826" max="13826" width="11.7109375" style="3" customWidth="1"/>
    <col min="13827" max="13827" width="8.28515625" style="3" customWidth="1"/>
    <col min="13828" max="13828" width="9.5703125" style="3" customWidth="1"/>
    <col min="13829" max="13829" width="7.7109375" style="3" customWidth="1"/>
    <col min="13830" max="13830" width="9.7109375" style="3" customWidth="1"/>
    <col min="13831" max="13831" width="6.42578125" style="3" customWidth="1"/>
    <col min="13832" max="13832" width="4.7109375" style="3" customWidth="1"/>
    <col min="13833" max="13833" width="0.140625" style="3" customWidth="1"/>
    <col min="13834" max="13834" width="12.140625" style="3" bestFit="1" customWidth="1"/>
    <col min="13835" max="13835" width="13.5703125" style="3" bestFit="1" customWidth="1"/>
    <col min="13836" max="13836" width="10.85546875" style="3" bestFit="1" customWidth="1"/>
    <col min="13837" max="14069" width="9.140625" style="3"/>
    <col min="14070" max="14070" width="13" style="3" customWidth="1"/>
    <col min="14071" max="14071" width="39.140625" style="3" customWidth="1"/>
    <col min="14072" max="14072" width="15.42578125" style="3" customWidth="1"/>
    <col min="14073" max="14073" width="13.140625" style="3" customWidth="1"/>
    <col min="14074" max="14074" width="11.140625" style="3" customWidth="1"/>
    <col min="14075" max="14075" width="29" style="3" customWidth="1"/>
    <col min="14076" max="14076" width="9.5703125" style="3" customWidth="1"/>
    <col min="14077" max="14077" width="14.42578125" style="3" customWidth="1"/>
    <col min="14078" max="14078" width="11" style="3" customWidth="1"/>
    <col min="14079" max="14079" width="12.7109375" style="3" customWidth="1"/>
    <col min="14080" max="14080" width="10.5703125" style="3" customWidth="1"/>
    <col min="14081" max="14081" width="14.42578125" style="3" customWidth="1"/>
    <col min="14082" max="14082" width="11.7109375" style="3" customWidth="1"/>
    <col min="14083" max="14083" width="8.28515625" style="3" customWidth="1"/>
    <col min="14084" max="14084" width="9.5703125" style="3" customWidth="1"/>
    <col min="14085" max="14085" width="7.7109375" style="3" customWidth="1"/>
    <col min="14086" max="14086" width="9.7109375" style="3" customWidth="1"/>
    <col min="14087" max="14087" width="6.42578125" style="3" customWidth="1"/>
    <col min="14088" max="14088" width="4.7109375" style="3" customWidth="1"/>
    <col min="14089" max="14089" width="0.140625" style="3" customWidth="1"/>
    <col min="14090" max="14090" width="12.140625" style="3" bestFit="1" customWidth="1"/>
    <col min="14091" max="14091" width="13.5703125" style="3" bestFit="1" customWidth="1"/>
    <col min="14092" max="14092" width="10.85546875" style="3" bestFit="1" customWidth="1"/>
    <col min="14093" max="14325" width="9.140625" style="3"/>
    <col min="14326" max="14326" width="13" style="3" customWidth="1"/>
    <col min="14327" max="14327" width="39.140625" style="3" customWidth="1"/>
    <col min="14328" max="14328" width="15.42578125" style="3" customWidth="1"/>
    <col min="14329" max="14329" width="13.140625" style="3" customWidth="1"/>
    <col min="14330" max="14330" width="11.140625" style="3" customWidth="1"/>
    <col min="14331" max="14331" width="29" style="3" customWidth="1"/>
    <col min="14332" max="14332" width="9.5703125" style="3" customWidth="1"/>
    <col min="14333" max="14333" width="14.42578125" style="3" customWidth="1"/>
    <col min="14334" max="14334" width="11" style="3" customWidth="1"/>
    <col min="14335" max="14335" width="12.7109375" style="3" customWidth="1"/>
    <col min="14336" max="14336" width="10.5703125" style="3" customWidth="1"/>
    <col min="14337" max="14337" width="14.42578125" style="3" customWidth="1"/>
    <col min="14338" max="14338" width="11.7109375" style="3" customWidth="1"/>
    <col min="14339" max="14339" width="8.28515625" style="3" customWidth="1"/>
    <col min="14340" max="14340" width="9.5703125" style="3" customWidth="1"/>
    <col min="14341" max="14341" width="7.7109375" style="3" customWidth="1"/>
    <col min="14342" max="14342" width="9.7109375" style="3" customWidth="1"/>
    <col min="14343" max="14343" width="6.42578125" style="3" customWidth="1"/>
    <col min="14344" max="14344" width="4.7109375" style="3" customWidth="1"/>
    <col min="14345" max="14345" width="0.140625" style="3" customWidth="1"/>
    <col min="14346" max="14346" width="12.140625" style="3" bestFit="1" customWidth="1"/>
    <col min="14347" max="14347" width="13.5703125" style="3" bestFit="1" customWidth="1"/>
    <col min="14348" max="14348" width="10.85546875" style="3" bestFit="1" customWidth="1"/>
    <col min="14349" max="14581" width="9.140625" style="3"/>
    <col min="14582" max="14582" width="13" style="3" customWidth="1"/>
    <col min="14583" max="14583" width="39.140625" style="3" customWidth="1"/>
    <col min="14584" max="14584" width="15.42578125" style="3" customWidth="1"/>
    <col min="14585" max="14585" width="13.140625" style="3" customWidth="1"/>
    <col min="14586" max="14586" width="11.140625" style="3" customWidth="1"/>
    <col min="14587" max="14587" width="29" style="3" customWidth="1"/>
    <col min="14588" max="14588" width="9.5703125" style="3" customWidth="1"/>
    <col min="14589" max="14589" width="14.42578125" style="3" customWidth="1"/>
    <col min="14590" max="14590" width="11" style="3" customWidth="1"/>
    <col min="14591" max="14591" width="12.7109375" style="3" customWidth="1"/>
    <col min="14592" max="14592" width="10.5703125" style="3" customWidth="1"/>
    <col min="14593" max="14593" width="14.42578125" style="3" customWidth="1"/>
    <col min="14594" max="14594" width="11.7109375" style="3" customWidth="1"/>
    <col min="14595" max="14595" width="8.28515625" style="3" customWidth="1"/>
    <col min="14596" max="14596" width="9.5703125" style="3" customWidth="1"/>
    <col min="14597" max="14597" width="7.7109375" style="3" customWidth="1"/>
    <col min="14598" max="14598" width="9.7109375" style="3" customWidth="1"/>
    <col min="14599" max="14599" width="6.42578125" style="3" customWidth="1"/>
    <col min="14600" max="14600" width="4.7109375" style="3" customWidth="1"/>
    <col min="14601" max="14601" width="0.140625" style="3" customWidth="1"/>
    <col min="14602" max="14602" width="12.140625" style="3" bestFit="1" customWidth="1"/>
    <col min="14603" max="14603" width="13.5703125" style="3" bestFit="1" customWidth="1"/>
    <col min="14604" max="14604" width="10.85546875" style="3" bestFit="1" customWidth="1"/>
    <col min="14605" max="14837" width="9.140625" style="3"/>
    <col min="14838" max="14838" width="13" style="3" customWidth="1"/>
    <col min="14839" max="14839" width="39.140625" style="3" customWidth="1"/>
    <col min="14840" max="14840" width="15.42578125" style="3" customWidth="1"/>
    <col min="14841" max="14841" width="13.140625" style="3" customWidth="1"/>
    <col min="14842" max="14842" width="11.140625" style="3" customWidth="1"/>
    <col min="14843" max="14843" width="29" style="3" customWidth="1"/>
    <col min="14844" max="14844" width="9.5703125" style="3" customWidth="1"/>
    <col min="14845" max="14845" width="14.42578125" style="3" customWidth="1"/>
    <col min="14846" max="14846" width="11" style="3" customWidth="1"/>
    <col min="14847" max="14847" width="12.7109375" style="3" customWidth="1"/>
    <col min="14848" max="14848" width="10.5703125" style="3" customWidth="1"/>
    <col min="14849" max="14849" width="14.42578125" style="3" customWidth="1"/>
    <col min="14850" max="14850" width="11.7109375" style="3" customWidth="1"/>
    <col min="14851" max="14851" width="8.28515625" style="3" customWidth="1"/>
    <col min="14852" max="14852" width="9.5703125" style="3" customWidth="1"/>
    <col min="14853" max="14853" width="7.7109375" style="3" customWidth="1"/>
    <col min="14854" max="14854" width="9.7109375" style="3" customWidth="1"/>
    <col min="14855" max="14855" width="6.42578125" style="3" customWidth="1"/>
    <col min="14856" max="14856" width="4.7109375" style="3" customWidth="1"/>
    <col min="14857" max="14857" width="0.140625" style="3" customWidth="1"/>
    <col min="14858" max="14858" width="12.140625" style="3" bestFit="1" customWidth="1"/>
    <col min="14859" max="14859" width="13.5703125" style="3" bestFit="1" customWidth="1"/>
    <col min="14860" max="14860" width="10.85546875" style="3" bestFit="1" customWidth="1"/>
    <col min="14861" max="15093" width="9.140625" style="3"/>
    <col min="15094" max="15094" width="13" style="3" customWidth="1"/>
    <col min="15095" max="15095" width="39.140625" style="3" customWidth="1"/>
    <col min="15096" max="15096" width="15.42578125" style="3" customWidth="1"/>
    <col min="15097" max="15097" width="13.140625" style="3" customWidth="1"/>
    <col min="15098" max="15098" width="11.140625" style="3" customWidth="1"/>
    <col min="15099" max="15099" width="29" style="3" customWidth="1"/>
    <col min="15100" max="15100" width="9.5703125" style="3" customWidth="1"/>
    <col min="15101" max="15101" width="14.42578125" style="3" customWidth="1"/>
    <col min="15102" max="15102" width="11" style="3" customWidth="1"/>
    <col min="15103" max="15103" width="12.7109375" style="3" customWidth="1"/>
    <col min="15104" max="15104" width="10.5703125" style="3" customWidth="1"/>
    <col min="15105" max="15105" width="14.42578125" style="3" customWidth="1"/>
    <col min="15106" max="15106" width="11.7109375" style="3" customWidth="1"/>
    <col min="15107" max="15107" width="8.28515625" style="3" customWidth="1"/>
    <col min="15108" max="15108" width="9.5703125" style="3" customWidth="1"/>
    <col min="15109" max="15109" width="7.7109375" style="3" customWidth="1"/>
    <col min="15110" max="15110" width="9.7109375" style="3" customWidth="1"/>
    <col min="15111" max="15111" width="6.42578125" style="3" customWidth="1"/>
    <col min="15112" max="15112" width="4.7109375" style="3" customWidth="1"/>
    <col min="15113" max="15113" width="0.140625" style="3" customWidth="1"/>
    <col min="15114" max="15114" width="12.140625" style="3" bestFit="1" customWidth="1"/>
    <col min="15115" max="15115" width="13.5703125" style="3" bestFit="1" customWidth="1"/>
    <col min="15116" max="15116" width="10.85546875" style="3" bestFit="1" customWidth="1"/>
    <col min="15117" max="15349" width="9.140625" style="3"/>
    <col min="15350" max="15350" width="13" style="3" customWidth="1"/>
    <col min="15351" max="15351" width="39.140625" style="3" customWidth="1"/>
    <col min="15352" max="15352" width="15.42578125" style="3" customWidth="1"/>
    <col min="15353" max="15353" width="13.140625" style="3" customWidth="1"/>
    <col min="15354" max="15354" width="11.140625" style="3" customWidth="1"/>
    <col min="15355" max="15355" width="29" style="3" customWidth="1"/>
    <col min="15356" max="15356" width="9.5703125" style="3" customWidth="1"/>
    <col min="15357" max="15357" width="14.42578125" style="3" customWidth="1"/>
    <col min="15358" max="15358" width="11" style="3" customWidth="1"/>
    <col min="15359" max="15359" width="12.7109375" style="3" customWidth="1"/>
    <col min="15360" max="15360" width="10.5703125" style="3" customWidth="1"/>
    <col min="15361" max="15361" width="14.42578125" style="3" customWidth="1"/>
    <col min="15362" max="15362" width="11.7109375" style="3" customWidth="1"/>
    <col min="15363" max="15363" width="8.28515625" style="3" customWidth="1"/>
    <col min="15364" max="15364" width="9.5703125" style="3" customWidth="1"/>
    <col min="15365" max="15365" width="7.7109375" style="3" customWidth="1"/>
    <col min="15366" max="15366" width="9.7109375" style="3" customWidth="1"/>
    <col min="15367" max="15367" width="6.42578125" style="3" customWidth="1"/>
    <col min="15368" max="15368" width="4.7109375" style="3" customWidth="1"/>
    <col min="15369" max="15369" width="0.140625" style="3" customWidth="1"/>
    <col min="15370" max="15370" width="12.140625" style="3" bestFit="1" customWidth="1"/>
    <col min="15371" max="15371" width="13.5703125" style="3" bestFit="1" customWidth="1"/>
    <col min="15372" max="15372" width="10.85546875" style="3" bestFit="1" customWidth="1"/>
    <col min="15373" max="15605" width="9.140625" style="3"/>
    <col min="15606" max="15606" width="13" style="3" customWidth="1"/>
    <col min="15607" max="15607" width="39.140625" style="3" customWidth="1"/>
    <col min="15608" max="15608" width="15.42578125" style="3" customWidth="1"/>
    <col min="15609" max="15609" width="13.140625" style="3" customWidth="1"/>
    <col min="15610" max="15610" width="11.140625" style="3" customWidth="1"/>
    <col min="15611" max="15611" width="29" style="3" customWidth="1"/>
    <col min="15612" max="15612" width="9.5703125" style="3" customWidth="1"/>
    <col min="15613" max="15613" width="14.42578125" style="3" customWidth="1"/>
    <col min="15614" max="15614" width="11" style="3" customWidth="1"/>
    <col min="15615" max="15615" width="12.7109375" style="3" customWidth="1"/>
    <col min="15616" max="15616" width="10.5703125" style="3" customWidth="1"/>
    <col min="15617" max="15617" width="14.42578125" style="3" customWidth="1"/>
    <col min="15618" max="15618" width="11.7109375" style="3" customWidth="1"/>
    <col min="15619" max="15619" width="8.28515625" style="3" customWidth="1"/>
    <col min="15620" max="15620" width="9.5703125" style="3" customWidth="1"/>
    <col min="15621" max="15621" width="7.7109375" style="3" customWidth="1"/>
    <col min="15622" max="15622" width="9.7109375" style="3" customWidth="1"/>
    <col min="15623" max="15623" width="6.42578125" style="3" customWidth="1"/>
    <col min="15624" max="15624" width="4.7109375" style="3" customWidth="1"/>
    <col min="15625" max="15625" width="0.140625" style="3" customWidth="1"/>
    <col min="15626" max="15626" width="12.140625" style="3" bestFit="1" customWidth="1"/>
    <col min="15627" max="15627" width="13.5703125" style="3" bestFit="1" customWidth="1"/>
    <col min="15628" max="15628" width="10.85546875" style="3" bestFit="1" customWidth="1"/>
    <col min="15629" max="15861" width="9.140625" style="3"/>
    <col min="15862" max="15862" width="13" style="3" customWidth="1"/>
    <col min="15863" max="15863" width="39.140625" style="3" customWidth="1"/>
    <col min="15864" max="15864" width="15.42578125" style="3" customWidth="1"/>
    <col min="15865" max="15865" width="13.140625" style="3" customWidth="1"/>
    <col min="15866" max="15866" width="11.140625" style="3" customWidth="1"/>
    <col min="15867" max="15867" width="29" style="3" customWidth="1"/>
    <col min="15868" max="15868" width="9.5703125" style="3" customWidth="1"/>
    <col min="15869" max="15869" width="14.42578125" style="3" customWidth="1"/>
    <col min="15870" max="15870" width="11" style="3" customWidth="1"/>
    <col min="15871" max="15871" width="12.7109375" style="3" customWidth="1"/>
    <col min="15872" max="15872" width="10.5703125" style="3" customWidth="1"/>
    <col min="15873" max="15873" width="14.42578125" style="3" customWidth="1"/>
    <col min="15874" max="15874" width="11.7109375" style="3" customWidth="1"/>
    <col min="15875" max="15875" width="8.28515625" style="3" customWidth="1"/>
    <col min="15876" max="15876" width="9.5703125" style="3" customWidth="1"/>
    <col min="15877" max="15877" width="7.7109375" style="3" customWidth="1"/>
    <col min="15878" max="15878" width="9.7109375" style="3" customWidth="1"/>
    <col min="15879" max="15879" width="6.42578125" style="3" customWidth="1"/>
    <col min="15880" max="15880" width="4.7109375" style="3" customWidth="1"/>
    <col min="15881" max="15881" width="0.140625" style="3" customWidth="1"/>
    <col min="15882" max="15882" width="12.140625" style="3" bestFit="1" customWidth="1"/>
    <col min="15883" max="15883" width="13.5703125" style="3" bestFit="1" customWidth="1"/>
    <col min="15884" max="15884" width="10.85546875" style="3" bestFit="1" customWidth="1"/>
    <col min="15885" max="16117" width="9.140625" style="3"/>
    <col min="16118" max="16118" width="13" style="3" customWidth="1"/>
    <col min="16119" max="16119" width="39.140625" style="3" customWidth="1"/>
    <col min="16120" max="16120" width="15.42578125" style="3" customWidth="1"/>
    <col min="16121" max="16121" width="13.140625" style="3" customWidth="1"/>
    <col min="16122" max="16122" width="11.140625" style="3" customWidth="1"/>
    <col min="16123" max="16123" width="29" style="3" customWidth="1"/>
    <col min="16124" max="16124" width="9.5703125" style="3" customWidth="1"/>
    <col min="16125" max="16125" width="14.42578125" style="3" customWidth="1"/>
    <col min="16126" max="16126" width="11" style="3" customWidth="1"/>
    <col min="16127" max="16127" width="12.7109375" style="3" customWidth="1"/>
    <col min="16128" max="16128" width="10.5703125" style="3" customWidth="1"/>
    <col min="16129" max="16129" width="14.42578125" style="3" customWidth="1"/>
    <col min="16130" max="16130" width="11.7109375" style="3" customWidth="1"/>
    <col min="16131" max="16131" width="8.28515625" style="3" customWidth="1"/>
    <col min="16132" max="16132" width="9.5703125" style="3" customWidth="1"/>
    <col min="16133" max="16133" width="7.7109375" style="3" customWidth="1"/>
    <col min="16134" max="16134" width="9.7109375" style="3" customWidth="1"/>
    <col min="16135" max="16135" width="6.42578125" style="3" customWidth="1"/>
    <col min="16136" max="16136" width="4.7109375" style="3" customWidth="1"/>
    <col min="16137" max="16137" width="0.140625" style="3" customWidth="1"/>
    <col min="16138" max="16138" width="12.140625" style="3" bestFit="1" customWidth="1"/>
    <col min="16139" max="16139" width="13.5703125" style="3" bestFit="1" customWidth="1"/>
    <col min="16140" max="16140" width="10.85546875" style="3" bestFit="1" customWidth="1"/>
    <col min="16141" max="16384" width="9.140625" style="3"/>
  </cols>
  <sheetData>
    <row r="1" spans="1:12" x14ac:dyDescent="0.25">
      <c r="A1" s="1" t="s">
        <v>0</v>
      </c>
      <c r="B1" s="2"/>
      <c r="C1" s="2"/>
      <c r="D1" s="2"/>
      <c r="E1" s="2"/>
      <c r="F1" s="2"/>
      <c r="G1" s="2"/>
      <c r="H1" s="2"/>
    </row>
    <row r="2" spans="1:12" x14ac:dyDescent="0.25">
      <c r="A2" s="1" t="s">
        <v>1</v>
      </c>
      <c r="B2" s="2"/>
      <c r="C2" s="2"/>
      <c r="D2" s="2"/>
      <c r="E2" s="2"/>
      <c r="F2" s="2"/>
      <c r="G2" s="2"/>
      <c r="H2" s="2"/>
    </row>
    <row r="3" spans="1:12" x14ac:dyDescent="0.25">
      <c r="A3" s="1" t="s">
        <v>2</v>
      </c>
      <c r="B3" s="2"/>
      <c r="C3" s="2"/>
      <c r="D3" s="2"/>
      <c r="E3" s="2"/>
      <c r="F3" s="2"/>
      <c r="G3" s="2"/>
      <c r="H3" s="2"/>
    </row>
    <row r="4" spans="1:12" x14ac:dyDescent="0.25">
      <c r="A4" s="5"/>
      <c r="B4" s="6"/>
      <c r="C4" s="4"/>
      <c r="G4" s="9"/>
    </row>
    <row r="5" spans="1:12" ht="15.75" thickBot="1" x14ac:dyDescent="0.3">
      <c r="A5" s="5"/>
      <c r="C5" s="4"/>
      <c r="F5" s="4"/>
    </row>
    <row r="6" spans="1:12" s="19" customFormat="1" ht="17.25" thickBot="1" x14ac:dyDescent="0.3">
      <c r="A6" s="12" t="s">
        <v>3</v>
      </c>
      <c r="B6" s="12" t="s">
        <v>4</v>
      </c>
      <c r="C6" s="12" t="s">
        <v>5</v>
      </c>
      <c r="D6" s="12" t="s">
        <v>6</v>
      </c>
      <c r="E6" s="143"/>
      <c r="F6" s="12" t="s">
        <v>7</v>
      </c>
      <c r="G6" s="13" t="s">
        <v>8</v>
      </c>
      <c r="H6" s="14"/>
      <c r="I6" s="15"/>
      <c r="J6" s="16"/>
      <c r="K6" s="17"/>
      <c r="L6" s="18"/>
    </row>
    <row r="7" spans="1:12" s="19" customFormat="1" ht="17.25" thickBot="1" x14ac:dyDescent="0.3">
      <c r="A7" s="20"/>
      <c r="B7" s="20"/>
      <c r="C7" s="20"/>
      <c r="D7" s="20"/>
      <c r="E7" s="21" t="s">
        <v>9</v>
      </c>
      <c r="F7" s="20"/>
      <c r="G7" s="21" t="s">
        <v>10</v>
      </c>
      <c r="H7" s="22" t="s">
        <v>11</v>
      </c>
      <c r="I7" s="15"/>
      <c r="J7" s="16"/>
      <c r="K7" s="17"/>
      <c r="L7" s="18"/>
    </row>
    <row r="8" spans="1:12" ht="17.25" thickBot="1" x14ac:dyDescent="0.3">
      <c r="A8" s="23" t="s">
        <v>12</v>
      </c>
      <c r="B8" s="24" t="s">
        <v>13</v>
      </c>
      <c r="C8" s="25">
        <f>SUM(C9,C14,C23,C26,C33,C42,C48,C54)</f>
        <v>18901557000</v>
      </c>
      <c r="D8" s="23"/>
      <c r="E8" s="26"/>
      <c r="F8" s="25">
        <f>C8-G8</f>
        <v>1053701692</v>
      </c>
      <c r="G8" s="25">
        <f>SUM(G9,G14,G23,G26,G33,G42,G48,G54)</f>
        <v>17847855308</v>
      </c>
      <c r="H8" s="27">
        <f>AVERAGE(H9,H14,H23,H26,H33,H42,H48,H54)</f>
        <v>100</v>
      </c>
      <c r="I8" s="28"/>
      <c r="J8" s="29"/>
      <c r="K8" s="30"/>
      <c r="L8" s="31"/>
    </row>
    <row r="9" spans="1:12" ht="17.25" thickBot="1" x14ac:dyDescent="0.3">
      <c r="A9" s="32" t="s">
        <v>14</v>
      </c>
      <c r="B9" s="32" t="s">
        <v>15</v>
      </c>
      <c r="C9" s="33">
        <f>SUM(C10,C12)</f>
        <v>85000000</v>
      </c>
      <c r="D9" s="34"/>
      <c r="E9" s="35"/>
      <c r="F9" s="33">
        <f>C9-G9</f>
        <v>11169930</v>
      </c>
      <c r="G9" s="33">
        <f>SUM(G10,G12)</f>
        <v>73830070</v>
      </c>
      <c r="H9" s="36">
        <f>AVERAGE(H10,H12)</f>
        <v>100</v>
      </c>
      <c r="I9" s="28"/>
      <c r="J9" s="29"/>
      <c r="K9" s="30"/>
      <c r="L9" s="31"/>
    </row>
    <row r="10" spans="1:12" ht="17.25" thickBot="1" x14ac:dyDescent="0.3">
      <c r="A10" s="37" t="s">
        <v>16</v>
      </c>
      <c r="B10" s="37" t="s">
        <v>17</v>
      </c>
      <c r="C10" s="38">
        <v>35000000</v>
      </c>
      <c r="D10" s="39"/>
      <c r="E10" s="40"/>
      <c r="F10" s="38">
        <f>C10-G10</f>
        <v>10591930</v>
      </c>
      <c r="G10" s="40">
        <f>SUM(G11)</f>
        <v>24408070</v>
      </c>
      <c r="H10" s="41">
        <f>AVERAGE(H11)</f>
        <v>100</v>
      </c>
      <c r="I10" s="28"/>
      <c r="J10" s="29"/>
      <c r="K10" s="30"/>
      <c r="L10" s="31"/>
    </row>
    <row r="11" spans="1:12" ht="17.25" thickBot="1" x14ac:dyDescent="0.3">
      <c r="A11" s="42"/>
      <c r="B11" s="42" t="s">
        <v>18</v>
      </c>
      <c r="C11" s="43">
        <v>35000000</v>
      </c>
      <c r="D11" s="42" t="s">
        <v>19</v>
      </c>
      <c r="E11" s="43">
        <v>0</v>
      </c>
      <c r="F11" s="43">
        <f>C11-G11</f>
        <v>10591930</v>
      </c>
      <c r="G11" s="43">
        <f>30468070-6060000</f>
        <v>24408070</v>
      </c>
      <c r="H11" s="44">
        <v>100</v>
      </c>
      <c r="I11" s="28"/>
      <c r="J11" s="29"/>
      <c r="K11" s="30"/>
      <c r="L11" s="31"/>
    </row>
    <row r="12" spans="1:12" ht="17.25" thickBot="1" x14ac:dyDescent="0.3">
      <c r="A12" s="37" t="s">
        <v>20</v>
      </c>
      <c r="B12" s="37" t="s">
        <v>21</v>
      </c>
      <c r="C12" s="38">
        <v>50000000</v>
      </c>
      <c r="D12" s="39"/>
      <c r="E12" s="40"/>
      <c r="F12" s="38">
        <f>C12-G12</f>
        <v>578000</v>
      </c>
      <c r="G12" s="40">
        <f>SUM(G13)</f>
        <v>49422000</v>
      </c>
      <c r="H12" s="41">
        <f>AVERAGE(H13)</f>
        <v>100</v>
      </c>
      <c r="I12" s="28"/>
      <c r="J12" s="29"/>
      <c r="K12" s="30"/>
      <c r="L12" s="31"/>
    </row>
    <row r="13" spans="1:12" ht="17.25" thickBot="1" x14ac:dyDescent="0.3">
      <c r="A13" s="42"/>
      <c r="B13" s="42" t="s">
        <v>18</v>
      </c>
      <c r="C13" s="43">
        <v>50000000</v>
      </c>
      <c r="D13" s="42" t="s">
        <v>19</v>
      </c>
      <c r="E13" s="43">
        <v>0</v>
      </c>
      <c r="F13" s="43">
        <f>C13-G13</f>
        <v>578000</v>
      </c>
      <c r="G13" s="43">
        <v>49422000</v>
      </c>
      <c r="H13" s="44">
        <v>100</v>
      </c>
      <c r="I13" s="28"/>
      <c r="J13" s="29"/>
      <c r="K13" s="30"/>
      <c r="L13" s="31"/>
    </row>
    <row r="14" spans="1:12" ht="17.25" thickBot="1" x14ac:dyDescent="0.3">
      <c r="A14" s="32" t="s">
        <v>22</v>
      </c>
      <c r="B14" s="32" t="s">
        <v>23</v>
      </c>
      <c r="C14" s="33">
        <f>SUM(C15,C17,C19,C21)</f>
        <v>11775249000</v>
      </c>
      <c r="D14" s="34"/>
      <c r="E14" s="35"/>
      <c r="F14" s="33">
        <f>C14-G14</f>
        <v>799475564</v>
      </c>
      <c r="G14" s="33">
        <f>SUM(G15,G17,G19,G21)</f>
        <v>10975773436</v>
      </c>
      <c r="H14" s="36">
        <f>AVERAGE(H15,H17,H19,H21)</f>
        <v>100</v>
      </c>
      <c r="I14" s="28"/>
      <c r="J14" s="29"/>
      <c r="K14" s="30"/>
      <c r="L14" s="31"/>
    </row>
    <row r="15" spans="1:12" ht="17.25" thickBot="1" x14ac:dyDescent="0.3">
      <c r="A15" s="37" t="s">
        <v>24</v>
      </c>
      <c r="B15" s="37" t="s">
        <v>25</v>
      </c>
      <c r="C15" s="38">
        <f>SUM(C16)</f>
        <v>11320639000</v>
      </c>
      <c r="D15" s="39"/>
      <c r="E15" s="40"/>
      <c r="F15" s="38">
        <f>C15-G15</f>
        <v>756487538</v>
      </c>
      <c r="G15" s="40">
        <f>SUM(G16)</f>
        <v>10564151462</v>
      </c>
      <c r="H15" s="41">
        <f>AVERAGE(H16)</f>
        <v>100</v>
      </c>
      <c r="I15" s="28"/>
      <c r="J15" s="29"/>
      <c r="K15" s="30"/>
      <c r="L15" s="31"/>
    </row>
    <row r="16" spans="1:12" ht="17.25" thickBot="1" x14ac:dyDescent="0.3">
      <c r="A16" s="42"/>
      <c r="B16" s="42" t="s">
        <v>18</v>
      </c>
      <c r="C16" s="43">
        <v>11320639000</v>
      </c>
      <c r="D16" s="42" t="s">
        <v>19</v>
      </c>
      <c r="E16" s="43">
        <v>0</v>
      </c>
      <c r="F16" s="43">
        <f>C16-G16</f>
        <v>756487538</v>
      </c>
      <c r="G16" s="43">
        <v>10564151462</v>
      </c>
      <c r="H16" s="44">
        <v>100</v>
      </c>
      <c r="I16" s="28"/>
      <c r="J16" s="29"/>
      <c r="K16" s="30"/>
      <c r="L16" s="31"/>
    </row>
    <row r="17" spans="1:12" ht="17.25" thickBot="1" x14ac:dyDescent="0.3">
      <c r="A17" s="37" t="s">
        <v>26</v>
      </c>
      <c r="B17" s="37" t="s">
        <v>27</v>
      </c>
      <c r="C17" s="38">
        <f>SUM(C18)</f>
        <v>192430000</v>
      </c>
      <c r="D17" s="39"/>
      <c r="E17" s="40"/>
      <c r="F17" s="38">
        <f>C17-G17</f>
        <v>28405476</v>
      </c>
      <c r="G17" s="40">
        <f>SUM(G18)</f>
        <v>164024524</v>
      </c>
      <c r="H17" s="41">
        <f>AVERAGE(H18)</f>
        <v>100</v>
      </c>
      <c r="I17" s="28"/>
      <c r="J17" s="29"/>
      <c r="K17" s="30"/>
      <c r="L17" s="31"/>
    </row>
    <row r="18" spans="1:12" ht="17.25" thickBot="1" x14ac:dyDescent="0.3">
      <c r="A18" s="42"/>
      <c r="B18" s="42" t="s">
        <v>18</v>
      </c>
      <c r="C18" s="43">
        <v>192430000</v>
      </c>
      <c r="D18" s="42" t="s">
        <v>19</v>
      </c>
      <c r="E18" s="43">
        <v>0</v>
      </c>
      <c r="F18" s="43">
        <f>C18-G18</f>
        <v>28405476</v>
      </c>
      <c r="G18" s="43">
        <v>164024524</v>
      </c>
      <c r="H18" s="44">
        <v>100</v>
      </c>
      <c r="I18" s="28"/>
      <c r="J18" s="29"/>
      <c r="K18" s="30"/>
      <c r="L18" s="31"/>
    </row>
    <row r="19" spans="1:12" ht="17.25" thickBot="1" x14ac:dyDescent="0.3">
      <c r="A19" s="37" t="s">
        <v>28</v>
      </c>
      <c r="B19" s="37" t="s">
        <v>29</v>
      </c>
      <c r="C19" s="38">
        <f>SUM(C20)</f>
        <v>247180000</v>
      </c>
      <c r="D19" s="39"/>
      <c r="E19" s="40"/>
      <c r="F19" s="38">
        <f>C19-G19</f>
        <v>14543850</v>
      </c>
      <c r="G19" s="40">
        <f>SUM(G20)</f>
        <v>232636150</v>
      </c>
      <c r="H19" s="41">
        <f>AVERAGE(H20)</f>
        <v>100</v>
      </c>
      <c r="I19" s="28"/>
      <c r="J19" s="29"/>
      <c r="K19" s="30"/>
      <c r="L19" s="31"/>
    </row>
    <row r="20" spans="1:12" ht="17.25" thickBot="1" x14ac:dyDescent="0.3">
      <c r="A20" s="42"/>
      <c r="B20" s="42" t="s">
        <v>18</v>
      </c>
      <c r="C20" s="43">
        <v>247180000</v>
      </c>
      <c r="D20" s="42" t="s">
        <v>19</v>
      </c>
      <c r="E20" s="43">
        <v>0</v>
      </c>
      <c r="F20" s="43">
        <f>C20-G20</f>
        <v>14543850</v>
      </c>
      <c r="G20" s="43">
        <v>232636150</v>
      </c>
      <c r="H20" s="44">
        <v>100</v>
      </c>
      <c r="I20" s="28"/>
      <c r="J20" s="29"/>
      <c r="K20" s="30"/>
      <c r="L20" s="31"/>
    </row>
    <row r="21" spans="1:12" ht="27.75" thickBot="1" x14ac:dyDescent="0.3">
      <c r="A21" s="37" t="s">
        <v>30</v>
      </c>
      <c r="B21" s="37" t="s">
        <v>31</v>
      </c>
      <c r="C21" s="38">
        <f>SUM(C22)</f>
        <v>15000000</v>
      </c>
      <c r="D21" s="39"/>
      <c r="E21" s="40"/>
      <c r="F21" s="38">
        <f>C21-G21</f>
        <v>38700</v>
      </c>
      <c r="G21" s="40">
        <f>SUM(G22)</f>
        <v>14961300</v>
      </c>
      <c r="H21" s="41">
        <f>AVERAGE(H22)</f>
        <v>100</v>
      </c>
      <c r="I21" s="28"/>
      <c r="J21" s="29"/>
      <c r="K21" s="30"/>
      <c r="L21" s="31"/>
    </row>
    <row r="22" spans="1:12" ht="17.25" thickBot="1" x14ac:dyDescent="0.3">
      <c r="A22" s="42"/>
      <c r="B22" s="42" t="s">
        <v>18</v>
      </c>
      <c r="C22" s="43">
        <v>15000000</v>
      </c>
      <c r="D22" s="42" t="s">
        <v>19</v>
      </c>
      <c r="E22" s="43">
        <v>0</v>
      </c>
      <c r="F22" s="43">
        <f>C22-G22</f>
        <v>38700</v>
      </c>
      <c r="G22" s="43">
        <v>14961300</v>
      </c>
      <c r="H22" s="44">
        <v>100</v>
      </c>
      <c r="I22" s="28"/>
      <c r="J22" s="29"/>
      <c r="K22" s="30"/>
      <c r="L22" s="31"/>
    </row>
    <row r="23" spans="1:12" ht="17.25" thickBot="1" x14ac:dyDescent="0.3">
      <c r="A23" s="32" t="s">
        <v>32</v>
      </c>
      <c r="B23" s="32" t="s">
        <v>33</v>
      </c>
      <c r="C23" s="33">
        <f>SUM(C24)</f>
        <v>309900000</v>
      </c>
      <c r="D23" s="34"/>
      <c r="E23" s="35"/>
      <c r="F23" s="33">
        <f>C23-G23</f>
        <v>17611500</v>
      </c>
      <c r="G23" s="33">
        <f>SUM(G24)</f>
        <v>292288500</v>
      </c>
      <c r="H23" s="36">
        <f>AVERAGE(H24)</f>
        <v>100</v>
      </c>
      <c r="I23" s="28"/>
      <c r="J23" s="29"/>
      <c r="K23" s="30"/>
      <c r="L23" s="31"/>
    </row>
    <row r="24" spans="1:12" ht="17.25" thickBot="1" x14ac:dyDescent="0.3">
      <c r="A24" s="37" t="s">
        <v>34</v>
      </c>
      <c r="B24" s="37" t="s">
        <v>35</v>
      </c>
      <c r="C24" s="38">
        <f>SUM(C25)</f>
        <v>309900000</v>
      </c>
      <c r="D24" s="39"/>
      <c r="E24" s="40"/>
      <c r="F24" s="38">
        <f>C24-G24</f>
        <v>17611500</v>
      </c>
      <c r="G24" s="40">
        <f>SUM(G25)</f>
        <v>292288500</v>
      </c>
      <c r="H24" s="41">
        <f>AVERAGE(H25)</f>
        <v>100</v>
      </c>
      <c r="I24" s="28"/>
      <c r="J24" s="29"/>
      <c r="K24" s="30"/>
      <c r="L24" s="31"/>
    </row>
    <row r="25" spans="1:12" ht="17.25" thickBot="1" x14ac:dyDescent="0.3">
      <c r="A25" s="42"/>
      <c r="B25" s="42" t="s">
        <v>18</v>
      </c>
      <c r="C25" s="43">
        <v>309900000</v>
      </c>
      <c r="D25" s="42" t="s">
        <v>19</v>
      </c>
      <c r="E25" s="43">
        <v>0</v>
      </c>
      <c r="F25" s="43">
        <f>C25-G25</f>
        <v>17611500</v>
      </c>
      <c r="G25" s="43">
        <v>292288500</v>
      </c>
      <c r="H25" s="44">
        <v>100</v>
      </c>
      <c r="I25" s="28"/>
      <c r="J25" s="29"/>
      <c r="K25" s="30"/>
      <c r="L25" s="31"/>
    </row>
    <row r="26" spans="1:12" ht="17.25" thickBot="1" x14ac:dyDescent="0.3">
      <c r="A26" s="32" t="s">
        <v>36</v>
      </c>
      <c r="B26" s="32" t="s">
        <v>37</v>
      </c>
      <c r="C26" s="33">
        <f>SUM(C27,C29,C31)</f>
        <v>90650000</v>
      </c>
      <c r="D26" s="34"/>
      <c r="E26" s="35"/>
      <c r="F26" s="33">
        <f>C26-G26</f>
        <v>7124400</v>
      </c>
      <c r="G26" s="33">
        <f>SUM(G27,G29,G31)</f>
        <v>83525600</v>
      </c>
      <c r="H26" s="36">
        <f>AVERAGE(H27,H29,H31)</f>
        <v>100</v>
      </c>
      <c r="I26" s="28"/>
      <c r="J26" s="29"/>
      <c r="K26" s="30"/>
      <c r="L26" s="31"/>
    </row>
    <row r="27" spans="1:12" ht="17.25" thickBot="1" x14ac:dyDescent="0.3">
      <c r="A27" s="37" t="s">
        <v>38</v>
      </c>
      <c r="B27" s="37" t="s">
        <v>39</v>
      </c>
      <c r="C27" s="38">
        <v>25000000</v>
      </c>
      <c r="D27" s="39"/>
      <c r="E27" s="40"/>
      <c r="F27" s="38">
        <f>C27-G27</f>
        <v>372700</v>
      </c>
      <c r="G27" s="40">
        <f>SUM(G28)</f>
        <v>24627300</v>
      </c>
      <c r="H27" s="41">
        <f>AVERAGE(H28)</f>
        <v>100</v>
      </c>
      <c r="I27" s="28"/>
      <c r="J27" s="29"/>
      <c r="K27" s="30"/>
      <c r="L27" s="31"/>
    </row>
    <row r="28" spans="1:12" ht="17.25" thickBot="1" x14ac:dyDescent="0.3">
      <c r="A28" s="42"/>
      <c r="B28" s="42" t="s">
        <v>18</v>
      </c>
      <c r="C28" s="43">
        <v>25000000</v>
      </c>
      <c r="D28" s="42" t="s">
        <v>19</v>
      </c>
      <c r="E28" s="43">
        <v>0</v>
      </c>
      <c r="F28" s="43">
        <f>C28-G28</f>
        <v>372700</v>
      </c>
      <c r="G28" s="43">
        <v>24627300</v>
      </c>
      <c r="H28" s="44">
        <v>100</v>
      </c>
      <c r="I28" s="28"/>
      <c r="J28" s="29"/>
      <c r="K28" s="30"/>
      <c r="L28" s="31"/>
    </row>
    <row r="29" spans="1:12" ht="17.25" thickBot="1" x14ac:dyDescent="0.3">
      <c r="A29" s="37" t="s">
        <v>40</v>
      </c>
      <c r="B29" s="37" t="s">
        <v>41</v>
      </c>
      <c r="C29" s="38">
        <v>20000000</v>
      </c>
      <c r="D29" s="39"/>
      <c r="E29" s="40"/>
      <c r="F29" s="38">
        <f>C29-G29</f>
        <v>14000</v>
      </c>
      <c r="G29" s="40">
        <f>SUM(G30)</f>
        <v>19986000</v>
      </c>
      <c r="H29" s="41">
        <f>AVERAGE(H30)</f>
        <v>100</v>
      </c>
      <c r="I29" s="28"/>
      <c r="J29" s="29"/>
      <c r="K29" s="30"/>
      <c r="L29" s="31"/>
    </row>
    <row r="30" spans="1:12" ht="17.25" thickBot="1" x14ac:dyDescent="0.3">
      <c r="A30" s="42"/>
      <c r="B30" s="42" t="s">
        <v>18</v>
      </c>
      <c r="C30" s="43">
        <v>20000000</v>
      </c>
      <c r="D30" s="42" t="s">
        <v>19</v>
      </c>
      <c r="E30" s="43">
        <v>0</v>
      </c>
      <c r="F30" s="43">
        <f>C30-G30</f>
        <v>14000</v>
      </c>
      <c r="G30" s="43">
        <v>19986000</v>
      </c>
      <c r="H30" s="44">
        <v>100</v>
      </c>
      <c r="I30" s="28"/>
      <c r="J30" s="29"/>
      <c r="K30" s="30"/>
      <c r="L30" s="31"/>
    </row>
    <row r="31" spans="1:12" ht="17.25" thickBot="1" x14ac:dyDescent="0.3">
      <c r="A31" s="37" t="s">
        <v>42</v>
      </c>
      <c r="B31" s="37" t="s">
        <v>43</v>
      </c>
      <c r="C31" s="38">
        <v>45650000</v>
      </c>
      <c r="D31" s="39"/>
      <c r="E31" s="40"/>
      <c r="F31" s="38">
        <f>C31-G31</f>
        <v>6737700</v>
      </c>
      <c r="G31" s="40">
        <f>SUM(G32)</f>
        <v>38912300</v>
      </c>
      <c r="H31" s="41">
        <f>AVERAGE(H32)</f>
        <v>100</v>
      </c>
      <c r="I31" s="28"/>
      <c r="J31" s="29"/>
      <c r="K31" s="30"/>
      <c r="L31" s="31"/>
    </row>
    <row r="32" spans="1:12" ht="17.25" thickBot="1" x14ac:dyDescent="0.3">
      <c r="A32" s="42"/>
      <c r="B32" s="42" t="s">
        <v>18</v>
      </c>
      <c r="C32" s="43">
        <v>45650000</v>
      </c>
      <c r="D32" s="42" t="s">
        <v>19</v>
      </c>
      <c r="E32" s="43">
        <v>0</v>
      </c>
      <c r="F32" s="43">
        <f>C32-G32</f>
        <v>6737700</v>
      </c>
      <c r="G32" s="43">
        <v>38912300</v>
      </c>
      <c r="H32" s="44">
        <v>100</v>
      </c>
      <c r="I32" s="28"/>
      <c r="J32" s="29"/>
      <c r="K32" s="30"/>
      <c r="L32" s="31"/>
    </row>
    <row r="33" spans="1:12" ht="17.25" thickBot="1" x14ac:dyDescent="0.3">
      <c r="A33" s="32" t="s">
        <v>44</v>
      </c>
      <c r="B33" s="32" t="s">
        <v>45</v>
      </c>
      <c r="C33" s="33">
        <f>SUM(C34,C38,C40)</f>
        <v>549500000</v>
      </c>
      <c r="D33" s="34"/>
      <c r="E33" s="35"/>
      <c r="F33" s="33">
        <f>C33-G33</f>
        <v>28156810</v>
      </c>
      <c r="G33" s="33">
        <f>SUM(G34,G38,G40)</f>
        <v>521343190</v>
      </c>
      <c r="H33" s="36">
        <f>AVERAGE(H34,H38,H40)</f>
        <v>100</v>
      </c>
      <c r="I33" s="28"/>
      <c r="J33" s="29"/>
      <c r="K33" s="30"/>
      <c r="L33" s="31"/>
    </row>
    <row r="34" spans="1:12" ht="17.25" thickBot="1" x14ac:dyDescent="0.3">
      <c r="A34" s="37" t="s">
        <v>46</v>
      </c>
      <c r="B34" s="37" t="s">
        <v>47</v>
      </c>
      <c r="C34" s="38">
        <f>SUM(C35:C37)</f>
        <v>354500000</v>
      </c>
      <c r="D34" s="39"/>
      <c r="E34" s="40"/>
      <c r="F34" s="38">
        <f>C34-G34</f>
        <v>27979810</v>
      </c>
      <c r="G34" s="40">
        <f>SUM(G35:G37)</f>
        <v>326520190</v>
      </c>
      <c r="H34" s="41">
        <f>AVERAGE(H35:H36)</f>
        <v>100</v>
      </c>
      <c r="I34" s="28"/>
      <c r="J34" s="29"/>
      <c r="K34" s="30"/>
      <c r="L34" s="31"/>
    </row>
    <row r="35" spans="1:12" ht="17.25" thickBot="1" x14ac:dyDescent="0.3">
      <c r="A35" s="42"/>
      <c r="B35" s="42" t="s">
        <v>48</v>
      </c>
      <c r="C35" s="43">
        <v>73110000</v>
      </c>
      <c r="D35" s="42" t="s">
        <v>50</v>
      </c>
      <c r="E35" s="43">
        <v>70059800</v>
      </c>
      <c r="F35" s="43">
        <f>C35-E35</f>
        <v>3050200</v>
      </c>
      <c r="G35" s="43">
        <v>70059800</v>
      </c>
      <c r="H35" s="44">
        <v>100</v>
      </c>
      <c r="I35" s="28"/>
      <c r="J35" s="29"/>
      <c r="K35" s="30"/>
      <c r="L35" s="31"/>
    </row>
    <row r="36" spans="1:12" ht="17.25" thickBot="1" x14ac:dyDescent="0.3">
      <c r="A36" s="42"/>
      <c r="B36" s="42" t="s">
        <v>51</v>
      </c>
      <c r="C36" s="43">
        <v>70610000</v>
      </c>
      <c r="D36" s="42" t="s">
        <v>50</v>
      </c>
      <c r="E36" s="43">
        <v>68969000</v>
      </c>
      <c r="F36" s="43">
        <f>C36-E36</f>
        <v>1641000</v>
      </c>
      <c r="G36" s="43">
        <v>68969000</v>
      </c>
      <c r="H36" s="44">
        <v>100</v>
      </c>
      <c r="I36" s="28"/>
      <c r="J36" s="29"/>
      <c r="K36" s="30"/>
      <c r="L36" s="31"/>
    </row>
    <row r="37" spans="1:12" ht="17.25" thickBot="1" x14ac:dyDescent="0.3">
      <c r="A37" s="42"/>
      <c r="B37" s="42" t="s">
        <v>52</v>
      </c>
      <c r="C37" s="43">
        <v>210780000</v>
      </c>
      <c r="D37" s="42" t="s">
        <v>19</v>
      </c>
      <c r="E37" s="43">
        <v>0</v>
      </c>
      <c r="F37" s="43">
        <f>C37-G37</f>
        <v>23288610</v>
      </c>
      <c r="G37" s="43">
        <f>90494290+7991200+17512500+40564900+4691200+16577300+17385000+2300000-10025000</f>
        <v>187491390</v>
      </c>
      <c r="H37" s="44">
        <f>G37/C37*100</f>
        <v>88.951224025049811</v>
      </c>
      <c r="I37" s="28"/>
      <c r="J37" s="29"/>
      <c r="K37" s="30"/>
      <c r="L37" s="31"/>
    </row>
    <row r="38" spans="1:12" ht="17.25" thickBot="1" x14ac:dyDescent="0.3">
      <c r="A38" s="37" t="s">
        <v>53</v>
      </c>
      <c r="B38" s="37" t="s">
        <v>54</v>
      </c>
      <c r="C38" s="38">
        <f>SUM(C39)</f>
        <v>35000000</v>
      </c>
      <c r="D38" s="39"/>
      <c r="E38" s="40"/>
      <c r="F38" s="38">
        <f>C38-G38</f>
        <v>17000</v>
      </c>
      <c r="G38" s="40">
        <f>SUM(G39)</f>
        <v>34983000</v>
      </c>
      <c r="H38" s="41">
        <f>AVERAGE(H39)</f>
        <v>100</v>
      </c>
      <c r="I38" s="28"/>
      <c r="J38" s="29"/>
      <c r="K38" s="30"/>
      <c r="L38" s="31"/>
    </row>
    <row r="39" spans="1:12" ht="17.25" thickBot="1" x14ac:dyDescent="0.3">
      <c r="A39" s="42"/>
      <c r="B39" s="42" t="s">
        <v>18</v>
      </c>
      <c r="C39" s="43">
        <v>35000000</v>
      </c>
      <c r="D39" s="42" t="s">
        <v>19</v>
      </c>
      <c r="E39" s="43">
        <v>0</v>
      </c>
      <c r="F39" s="43">
        <f>C39-G39</f>
        <v>17000</v>
      </c>
      <c r="G39" s="43">
        <v>34983000</v>
      </c>
      <c r="H39" s="44">
        <v>100</v>
      </c>
      <c r="I39" s="28"/>
      <c r="J39" s="29"/>
      <c r="K39" s="30"/>
      <c r="L39" s="31"/>
    </row>
    <row r="40" spans="1:12" ht="17.25" thickBot="1" x14ac:dyDescent="0.3">
      <c r="A40" s="37" t="s">
        <v>55</v>
      </c>
      <c r="B40" s="37" t="s">
        <v>56</v>
      </c>
      <c r="C40" s="38">
        <f>SUM(C41)</f>
        <v>160000000</v>
      </c>
      <c r="D40" s="39"/>
      <c r="E40" s="40"/>
      <c r="F40" s="38">
        <f>C40-G40</f>
        <v>160000</v>
      </c>
      <c r="G40" s="40">
        <f>SUM(G41)</f>
        <v>159840000</v>
      </c>
      <c r="H40" s="41">
        <f>AVERAGE(H41)</f>
        <v>100</v>
      </c>
      <c r="I40" s="28"/>
      <c r="J40" s="29"/>
      <c r="K40" s="30"/>
      <c r="L40" s="31"/>
    </row>
    <row r="41" spans="1:12" ht="17.25" thickBot="1" x14ac:dyDescent="0.3">
      <c r="A41" s="42"/>
      <c r="B41" s="42" t="s">
        <v>18</v>
      </c>
      <c r="C41" s="43">
        <v>160000000</v>
      </c>
      <c r="D41" s="42" t="s">
        <v>19</v>
      </c>
      <c r="E41" s="43">
        <v>0</v>
      </c>
      <c r="F41" s="43">
        <f>C41-G41</f>
        <v>160000</v>
      </c>
      <c r="G41" s="43">
        <v>159840000</v>
      </c>
      <c r="H41" s="44">
        <v>100</v>
      </c>
      <c r="I41" s="28"/>
      <c r="J41" s="29"/>
      <c r="K41" s="30"/>
      <c r="L41" s="31"/>
    </row>
    <row r="42" spans="1:12" ht="17.25" thickBot="1" x14ac:dyDescent="0.3">
      <c r="A42" s="32" t="s">
        <v>57</v>
      </c>
      <c r="B42" s="32" t="s">
        <v>58</v>
      </c>
      <c r="C42" s="33">
        <f>SUM(C43)</f>
        <v>660500000</v>
      </c>
      <c r="D42" s="34"/>
      <c r="E42" s="35"/>
      <c r="F42" s="33">
        <f>C42-G42</f>
        <v>24729988</v>
      </c>
      <c r="G42" s="33">
        <f>SUM(G43)</f>
        <v>635770012</v>
      </c>
      <c r="H42" s="36">
        <f>H43</f>
        <v>100</v>
      </c>
      <c r="I42" s="28"/>
      <c r="J42" s="29"/>
      <c r="K42" s="30"/>
      <c r="L42" s="31"/>
    </row>
    <row r="43" spans="1:12" ht="17.25" thickBot="1" x14ac:dyDescent="0.3">
      <c r="A43" s="37" t="s">
        <v>59</v>
      </c>
      <c r="B43" s="37" t="s">
        <v>60</v>
      </c>
      <c r="C43" s="38">
        <f>SUM(C44:C47)</f>
        <v>660500000</v>
      </c>
      <c r="D43" s="39"/>
      <c r="E43" s="40"/>
      <c r="F43" s="38">
        <f>C43-G43</f>
        <v>24729988</v>
      </c>
      <c r="G43" s="40">
        <f>SUM(G44:G47)</f>
        <v>635770012</v>
      </c>
      <c r="H43" s="41">
        <f>AVERAGE(H44:H46)</f>
        <v>100</v>
      </c>
      <c r="I43" s="28"/>
      <c r="J43" s="29"/>
      <c r="K43" s="30"/>
      <c r="L43" s="31"/>
    </row>
    <row r="44" spans="1:12" ht="17.25" thickBot="1" x14ac:dyDescent="0.3">
      <c r="A44" s="42"/>
      <c r="B44" s="42" t="s">
        <v>61</v>
      </c>
      <c r="C44" s="43">
        <v>280000000</v>
      </c>
      <c r="D44" s="42" t="s">
        <v>50</v>
      </c>
      <c r="E44" s="43">
        <v>280000000</v>
      </c>
      <c r="F44" s="43">
        <f>C44-G44</f>
        <v>0</v>
      </c>
      <c r="G44" s="43">
        <v>280000000</v>
      </c>
      <c r="H44" s="44">
        <f>G44/C44*100</f>
        <v>100</v>
      </c>
      <c r="I44" s="28"/>
      <c r="J44" s="29"/>
      <c r="K44" s="30"/>
      <c r="L44" s="31"/>
    </row>
    <row r="45" spans="1:12" ht="17.25" thickBot="1" x14ac:dyDescent="0.3">
      <c r="A45" s="42"/>
      <c r="B45" s="42" t="s">
        <v>62</v>
      </c>
      <c r="C45" s="43">
        <v>280000000</v>
      </c>
      <c r="D45" s="42" t="s">
        <v>50</v>
      </c>
      <c r="E45" s="43">
        <v>269750000</v>
      </c>
      <c r="F45" s="43">
        <f>C45-G45</f>
        <v>10250000</v>
      </c>
      <c r="G45" s="43">
        <f>269750000</f>
        <v>269750000</v>
      </c>
      <c r="H45" s="44">
        <v>100</v>
      </c>
      <c r="I45" s="28"/>
      <c r="J45" s="29"/>
      <c r="K45" s="30"/>
      <c r="L45" s="31"/>
    </row>
    <row r="46" spans="1:12" ht="17.25" thickBot="1" x14ac:dyDescent="0.3">
      <c r="A46" s="42"/>
      <c r="B46" s="42" t="s">
        <v>63</v>
      </c>
      <c r="C46" s="43">
        <v>28800000</v>
      </c>
      <c r="D46" s="42" t="s">
        <v>50</v>
      </c>
      <c r="E46" s="43">
        <v>27840000</v>
      </c>
      <c r="F46" s="43">
        <f>C46-G46</f>
        <v>960000</v>
      </c>
      <c r="G46" s="43">
        <v>27840000</v>
      </c>
      <c r="H46" s="44">
        <v>100</v>
      </c>
      <c r="I46" s="28"/>
      <c r="J46" s="29"/>
      <c r="K46" s="30"/>
      <c r="L46" s="31"/>
    </row>
    <row r="47" spans="1:12" ht="17.25" thickBot="1" x14ac:dyDescent="0.3">
      <c r="A47" s="42"/>
      <c r="B47" s="42" t="s">
        <v>64</v>
      </c>
      <c r="C47" s="43">
        <v>71700000</v>
      </c>
      <c r="D47" s="42" t="s">
        <v>19</v>
      </c>
      <c r="E47" s="43">
        <v>0</v>
      </c>
      <c r="F47" s="43">
        <f>C47-G47</f>
        <v>13519988</v>
      </c>
      <c r="G47" s="43">
        <f>66692400+3534612-12047000</f>
        <v>58180012</v>
      </c>
      <c r="H47" s="44">
        <f>G47/C47*100</f>
        <v>81.14367085076708</v>
      </c>
      <c r="I47" s="28"/>
      <c r="J47" s="29"/>
      <c r="K47" s="30"/>
      <c r="L47" s="31"/>
    </row>
    <row r="48" spans="1:12" ht="17.25" thickBot="1" x14ac:dyDescent="0.3">
      <c r="A48" s="32" t="s">
        <v>65</v>
      </c>
      <c r="B48" s="32" t="s">
        <v>66</v>
      </c>
      <c r="C48" s="33">
        <f>SUM(C49,C51)</f>
        <v>3131378000</v>
      </c>
      <c r="D48" s="34"/>
      <c r="E48" s="35"/>
      <c r="F48" s="33">
        <f>C48-G48</f>
        <v>122645738</v>
      </c>
      <c r="G48" s="33">
        <f>SUM(G49,G51)</f>
        <v>3008732262</v>
      </c>
      <c r="H48" s="36">
        <f>AVERAGE(H49,H51)</f>
        <v>100</v>
      </c>
      <c r="I48" s="28"/>
      <c r="J48" s="29"/>
      <c r="K48" s="30"/>
      <c r="L48" s="31"/>
    </row>
    <row r="49" spans="1:12" ht="17.25" thickBot="1" x14ac:dyDescent="0.3">
      <c r="A49" s="37" t="s">
        <v>67</v>
      </c>
      <c r="B49" s="37" t="s">
        <v>68</v>
      </c>
      <c r="C49" s="38">
        <f>SUM(C50)</f>
        <v>357918000</v>
      </c>
      <c r="D49" s="39"/>
      <c r="E49" s="40"/>
      <c r="F49" s="38">
        <f>C49-G49</f>
        <v>11980385</v>
      </c>
      <c r="G49" s="40">
        <f>SUM(G50)</f>
        <v>345937615</v>
      </c>
      <c r="H49" s="41">
        <f>AVERAGE(H50)</f>
        <v>100</v>
      </c>
      <c r="I49" s="28"/>
      <c r="J49" s="29"/>
      <c r="K49" s="30"/>
      <c r="L49" s="31"/>
    </row>
    <row r="50" spans="1:12" ht="17.25" thickBot="1" x14ac:dyDescent="0.3">
      <c r="A50" s="42"/>
      <c r="B50" s="42" t="s">
        <v>18</v>
      </c>
      <c r="C50" s="43">
        <v>357918000</v>
      </c>
      <c r="D50" s="42" t="s">
        <v>19</v>
      </c>
      <c r="E50" s="43">
        <v>0</v>
      </c>
      <c r="F50" s="43">
        <f>C50-G50</f>
        <v>11980385</v>
      </c>
      <c r="G50" s="43">
        <v>345937615</v>
      </c>
      <c r="H50" s="44">
        <v>100</v>
      </c>
      <c r="I50" s="28"/>
      <c r="J50" s="29"/>
      <c r="K50" s="30"/>
      <c r="L50" s="31"/>
    </row>
    <row r="51" spans="1:12" ht="17.25" thickBot="1" x14ac:dyDescent="0.3">
      <c r="A51" s="37" t="s">
        <v>69</v>
      </c>
      <c r="B51" s="37" t="s">
        <v>70</v>
      </c>
      <c r="C51" s="38">
        <f>SUM(C52:C53)</f>
        <v>2773460000</v>
      </c>
      <c r="D51" s="39"/>
      <c r="E51" s="40"/>
      <c r="F51" s="38">
        <f>C51-G51</f>
        <v>110665353</v>
      </c>
      <c r="G51" s="40">
        <f>SUM(G52:G53)</f>
        <v>2662794647</v>
      </c>
      <c r="H51" s="41">
        <f>AVERAGE(H52)</f>
        <v>100</v>
      </c>
      <c r="I51" s="28"/>
      <c r="J51" s="29">
        <f>2259150559-G51</f>
        <v>-403644088</v>
      </c>
      <c r="K51" s="30">
        <f>151800000*6</f>
        <v>910800000</v>
      </c>
      <c r="L51" s="31">
        <f>2200000*5</f>
        <v>11000000</v>
      </c>
    </row>
    <row r="52" spans="1:12" ht="17.25" thickBot="1" x14ac:dyDescent="0.3">
      <c r="A52" s="42"/>
      <c r="B52" s="42" t="s">
        <v>71</v>
      </c>
      <c r="C52" s="43">
        <v>2002000000</v>
      </c>
      <c r="D52" s="42" t="s">
        <v>72</v>
      </c>
      <c r="E52" s="43">
        <v>2002000000</v>
      </c>
      <c r="F52" s="43">
        <f>C52-G52</f>
        <v>0</v>
      </c>
      <c r="G52" s="43">
        <v>2002000000</v>
      </c>
      <c r="H52" s="44">
        <v>100</v>
      </c>
      <c r="I52" s="29"/>
      <c r="J52" s="29">
        <f>154000000+151800000+152200000+150700000+151800000+151800000+151800000+151800000+151800000+151300000+151800000</f>
        <v>1670800000</v>
      </c>
      <c r="K52" s="30"/>
      <c r="L52" s="31"/>
    </row>
    <row r="53" spans="1:12" ht="17.25" thickBot="1" x14ac:dyDescent="0.3">
      <c r="A53" s="42"/>
      <c r="B53" s="42" t="s">
        <v>73</v>
      </c>
      <c r="C53" s="43">
        <v>771460000</v>
      </c>
      <c r="D53" s="42" t="s">
        <v>19</v>
      </c>
      <c r="E53" s="43">
        <v>0</v>
      </c>
      <c r="F53" s="43">
        <f>C53-G53</f>
        <v>110665353</v>
      </c>
      <c r="G53" s="43">
        <f>676170559-15375912</f>
        <v>660794647</v>
      </c>
      <c r="H53" s="44">
        <f>G53/C53*100</f>
        <v>85.655075700619605</v>
      </c>
      <c r="I53" s="28"/>
      <c r="J53" s="29">
        <f>G51-1784789733</f>
        <v>878004914</v>
      </c>
      <c r="K53" s="30"/>
      <c r="L53" s="31"/>
    </row>
    <row r="54" spans="1:12" ht="17.25" thickBot="1" x14ac:dyDescent="0.3">
      <c r="A54" s="32" t="s">
        <v>74</v>
      </c>
      <c r="B54" s="32" t="s">
        <v>75</v>
      </c>
      <c r="C54" s="33">
        <f>SUM(C55,C57,C60,C62,C64)</f>
        <v>2299380000</v>
      </c>
      <c r="D54" s="34"/>
      <c r="E54" s="35"/>
      <c r="F54" s="33">
        <f>C54-G54</f>
        <v>42787762</v>
      </c>
      <c r="G54" s="33">
        <f>SUM(G55,G57,G60,G62,G64)</f>
        <v>2256592238</v>
      </c>
      <c r="H54" s="36">
        <f>AVERAGE(H55,H57,H60,H62,H64)</f>
        <v>100</v>
      </c>
      <c r="I54" s="28"/>
      <c r="J54" s="29"/>
      <c r="K54" s="30"/>
      <c r="L54" s="31"/>
    </row>
    <row r="55" spans="1:12" ht="27.75" thickBot="1" x14ac:dyDescent="0.3">
      <c r="A55" s="37" t="s">
        <v>76</v>
      </c>
      <c r="B55" s="37" t="s">
        <v>77</v>
      </c>
      <c r="C55" s="38">
        <f>SUM(C56)</f>
        <v>660200000</v>
      </c>
      <c r="D55" s="39"/>
      <c r="E55" s="40"/>
      <c r="F55" s="38">
        <f>C55-G55</f>
        <v>9104075</v>
      </c>
      <c r="G55" s="40">
        <f>SUM(G56)</f>
        <v>651095925</v>
      </c>
      <c r="H55" s="41">
        <f>AVERAGE(H56)</f>
        <v>100</v>
      </c>
      <c r="I55" s="28"/>
      <c r="J55" s="29"/>
      <c r="K55" s="30"/>
      <c r="L55" s="31"/>
    </row>
    <row r="56" spans="1:12" ht="17.25" thickBot="1" x14ac:dyDescent="0.3">
      <c r="A56" s="42"/>
      <c r="B56" s="42" t="s">
        <v>18</v>
      </c>
      <c r="C56" s="43">
        <v>660200000</v>
      </c>
      <c r="D56" s="42" t="s">
        <v>19</v>
      </c>
      <c r="E56" s="43">
        <v>0</v>
      </c>
      <c r="F56" s="43">
        <f>C56-G56</f>
        <v>9104075</v>
      </c>
      <c r="G56" s="43">
        <v>651095925</v>
      </c>
      <c r="H56" s="44">
        <v>100</v>
      </c>
      <c r="I56" s="28"/>
      <c r="J56" s="29"/>
      <c r="K56" s="30"/>
      <c r="L56" s="31"/>
    </row>
    <row r="57" spans="1:12" ht="17.25" thickBot="1" x14ac:dyDescent="0.3">
      <c r="A57" s="37" t="s">
        <v>78</v>
      </c>
      <c r="B57" s="37" t="s">
        <v>79</v>
      </c>
      <c r="C57" s="38">
        <f>SUM(C58:C59)</f>
        <v>624800000</v>
      </c>
      <c r="D57" s="39"/>
      <c r="E57" s="40"/>
      <c r="F57" s="38">
        <f>C57-G57</f>
        <v>3291737</v>
      </c>
      <c r="G57" s="40">
        <f>SUM(G58:G59)</f>
        <v>621508263</v>
      </c>
      <c r="H57" s="41">
        <f>AVERAGE(H58:H59)</f>
        <v>100</v>
      </c>
      <c r="I57" s="28"/>
      <c r="J57" s="29">
        <f>584951263-G57</f>
        <v>-36557000</v>
      </c>
      <c r="K57" s="30"/>
      <c r="L57" s="31"/>
    </row>
    <row r="58" spans="1:12" ht="17.25" thickBot="1" x14ac:dyDescent="0.3">
      <c r="A58" s="42"/>
      <c r="B58" s="42" t="s">
        <v>80</v>
      </c>
      <c r="C58" s="43">
        <v>48474000</v>
      </c>
      <c r="D58" s="42" t="s">
        <v>19</v>
      </c>
      <c r="E58" s="43">
        <v>0</v>
      </c>
      <c r="F58" s="43">
        <f>C58-G58</f>
        <v>367000</v>
      </c>
      <c r="G58" s="43">
        <v>48107000</v>
      </c>
      <c r="H58" s="44">
        <v>100</v>
      </c>
      <c r="I58" s="28"/>
      <c r="J58" s="29"/>
      <c r="K58" s="30"/>
      <c r="L58" s="31"/>
    </row>
    <row r="59" spans="1:12" ht="17.25" thickBot="1" x14ac:dyDescent="0.3">
      <c r="A59" s="42"/>
      <c r="B59" s="42" t="s">
        <v>73</v>
      </c>
      <c r="C59" s="43">
        <f>574800000+1526000</f>
        <v>576326000</v>
      </c>
      <c r="D59" s="42" t="s">
        <v>19</v>
      </c>
      <c r="E59" s="43">
        <v>0</v>
      </c>
      <c r="F59" s="43">
        <f>C59-G59</f>
        <v>2924737</v>
      </c>
      <c r="G59" s="43">
        <f>245371810+39140000+38993250+45389997+68703706+105352500+27200000+3250000</f>
        <v>573401263</v>
      </c>
      <c r="H59" s="44">
        <v>100</v>
      </c>
      <c r="I59" s="28"/>
      <c r="J59" s="29"/>
      <c r="K59" s="30"/>
      <c r="L59" s="31"/>
    </row>
    <row r="60" spans="1:12" ht="17.25" thickBot="1" x14ac:dyDescent="0.3">
      <c r="A60" s="37" t="s">
        <v>81</v>
      </c>
      <c r="B60" s="37" t="s">
        <v>82</v>
      </c>
      <c r="C60" s="38">
        <f>SUM(C61)</f>
        <v>25000000</v>
      </c>
      <c r="D60" s="39"/>
      <c r="E60" s="40"/>
      <c r="F60" s="38">
        <f>C60-G60</f>
        <v>115000</v>
      </c>
      <c r="G60" s="40">
        <f>SUM(G61)</f>
        <v>24885000</v>
      </c>
      <c r="H60" s="41">
        <f>AVERAGE(H61)</f>
        <v>100</v>
      </c>
      <c r="I60" s="28"/>
      <c r="J60" s="29"/>
      <c r="K60" s="30"/>
      <c r="L60" s="31"/>
    </row>
    <row r="61" spans="1:12" ht="17.25" thickBot="1" x14ac:dyDescent="0.3">
      <c r="A61" s="42"/>
      <c r="B61" s="42" t="s">
        <v>18</v>
      </c>
      <c r="C61" s="43">
        <v>25000000</v>
      </c>
      <c r="D61" s="42" t="s">
        <v>19</v>
      </c>
      <c r="E61" s="43">
        <v>0</v>
      </c>
      <c r="F61" s="43">
        <f>C61-G61</f>
        <v>115000</v>
      </c>
      <c r="G61" s="43">
        <v>24885000</v>
      </c>
      <c r="H61" s="44">
        <v>100</v>
      </c>
      <c r="I61" s="28"/>
      <c r="J61" s="29"/>
      <c r="K61" s="30"/>
      <c r="L61" s="31"/>
    </row>
    <row r="62" spans="1:12" ht="17.25" thickBot="1" x14ac:dyDescent="0.3">
      <c r="A62" s="37" t="s">
        <v>83</v>
      </c>
      <c r="B62" s="37" t="s">
        <v>84</v>
      </c>
      <c r="C62" s="38">
        <f>SUM(C63)</f>
        <v>189380000</v>
      </c>
      <c r="D62" s="39"/>
      <c r="E62" s="40"/>
      <c r="F62" s="38">
        <f>C62-G62</f>
        <v>863250</v>
      </c>
      <c r="G62" s="40">
        <f>SUM(G63)</f>
        <v>188516750</v>
      </c>
      <c r="H62" s="41">
        <f>AVERAGE(H63)</f>
        <v>100</v>
      </c>
      <c r="I62" s="28"/>
      <c r="J62" s="29"/>
      <c r="K62" s="30">
        <v>188516900</v>
      </c>
      <c r="L62" s="31"/>
    </row>
    <row r="63" spans="1:12" ht="17.25" thickBot="1" x14ac:dyDescent="0.3">
      <c r="A63" s="42"/>
      <c r="B63" s="42" t="s">
        <v>18</v>
      </c>
      <c r="C63" s="43">
        <v>189380000</v>
      </c>
      <c r="D63" s="42" t="s">
        <v>19</v>
      </c>
      <c r="E63" s="43">
        <v>0</v>
      </c>
      <c r="F63" s="43">
        <f>C63-G63</f>
        <v>863250</v>
      </c>
      <c r="G63" s="43">
        <v>188516750</v>
      </c>
      <c r="H63" s="44">
        <v>100</v>
      </c>
      <c r="I63" s="28"/>
      <c r="J63" s="29"/>
      <c r="K63" s="30"/>
      <c r="L63" s="31"/>
    </row>
    <row r="64" spans="1:12" ht="17.25" thickBot="1" x14ac:dyDescent="0.3">
      <c r="A64" s="37" t="s">
        <v>86</v>
      </c>
      <c r="B64" s="37" t="s">
        <v>87</v>
      </c>
      <c r="C64" s="38">
        <f>SUM(C65:C72)</f>
        <v>800000000</v>
      </c>
      <c r="D64" s="39"/>
      <c r="E64" s="40"/>
      <c r="F64" s="38">
        <f>C64-G64</f>
        <v>29413700</v>
      </c>
      <c r="G64" s="40">
        <f>SUM(G65:G72)</f>
        <v>770586300</v>
      </c>
      <c r="H64" s="41">
        <f>AVERAGE(H65:H71)</f>
        <v>100</v>
      </c>
      <c r="I64" s="28"/>
      <c r="J64" s="29">
        <f>763346300-G64</f>
        <v>-7240000</v>
      </c>
      <c r="K64" s="30"/>
      <c r="L64" s="31"/>
    </row>
    <row r="65" spans="1:12" ht="17.25" thickBot="1" x14ac:dyDescent="0.3">
      <c r="A65" s="42"/>
      <c r="B65" s="42" t="s">
        <v>88</v>
      </c>
      <c r="C65" s="43">
        <v>155000000</v>
      </c>
      <c r="D65" s="42" t="s">
        <v>89</v>
      </c>
      <c r="E65" s="43">
        <v>153435500</v>
      </c>
      <c r="F65" s="43">
        <f>C65-G65</f>
        <v>1564500</v>
      </c>
      <c r="G65" s="43">
        <v>153435500</v>
      </c>
      <c r="H65" s="44">
        <v>100</v>
      </c>
      <c r="I65" s="28"/>
      <c r="J65" s="29"/>
      <c r="K65" s="30">
        <f>K66+5016920</f>
        <v>23320000</v>
      </c>
      <c r="L65" s="31"/>
    </row>
    <row r="66" spans="1:12" ht="17.25" thickBot="1" x14ac:dyDescent="0.3">
      <c r="A66" s="42"/>
      <c r="B66" s="42" t="s">
        <v>90</v>
      </c>
      <c r="C66" s="43">
        <v>70000000</v>
      </c>
      <c r="D66" s="42" t="s">
        <v>89</v>
      </c>
      <c r="E66" s="43">
        <v>68619000</v>
      </c>
      <c r="F66" s="43">
        <f>C66-G66</f>
        <v>1381000</v>
      </c>
      <c r="G66" s="43">
        <v>68619000</v>
      </c>
      <c r="H66" s="44">
        <v>100</v>
      </c>
      <c r="I66" s="28"/>
      <c r="J66" s="29"/>
      <c r="K66" s="30">
        <f>1362972333-K67</f>
        <v>18303080</v>
      </c>
      <c r="L66" s="31"/>
    </row>
    <row r="67" spans="1:12" ht="27.75" thickBot="1" x14ac:dyDescent="0.3">
      <c r="A67" s="42"/>
      <c r="B67" s="42" t="s">
        <v>91</v>
      </c>
      <c r="C67" s="43">
        <v>125000000</v>
      </c>
      <c r="D67" s="42" t="s">
        <v>89</v>
      </c>
      <c r="E67" s="43">
        <v>123479000</v>
      </c>
      <c r="F67" s="43">
        <f>C67-G67</f>
        <v>1521000</v>
      </c>
      <c r="G67" s="43">
        <v>123479000</v>
      </c>
      <c r="H67" s="44">
        <v>100</v>
      </c>
      <c r="I67" s="28"/>
      <c r="J67" s="29"/>
      <c r="K67" s="30">
        <f>912300000+432369253</f>
        <v>1344669253</v>
      </c>
      <c r="L67" s="31"/>
    </row>
    <row r="68" spans="1:12" ht="27.75" thickBot="1" x14ac:dyDescent="0.3">
      <c r="A68" s="42"/>
      <c r="B68" s="42" t="s">
        <v>92</v>
      </c>
      <c r="C68" s="43">
        <v>30000000</v>
      </c>
      <c r="D68" s="42" t="s">
        <v>89</v>
      </c>
      <c r="E68" s="43">
        <v>28389000</v>
      </c>
      <c r="F68" s="43">
        <f>C68-G68</f>
        <v>1611000</v>
      </c>
      <c r="G68" s="43">
        <v>28389000</v>
      </c>
      <c r="H68" s="44">
        <v>100</v>
      </c>
      <c r="I68" s="28"/>
      <c r="J68" s="29"/>
      <c r="K68" s="30"/>
      <c r="L68" s="31"/>
    </row>
    <row r="69" spans="1:12" ht="27.75" thickBot="1" x14ac:dyDescent="0.3">
      <c r="A69" s="42"/>
      <c r="B69" s="42" t="s">
        <v>93</v>
      </c>
      <c r="C69" s="43">
        <v>30000000</v>
      </c>
      <c r="D69" s="42" t="s">
        <v>89</v>
      </c>
      <c r="E69" s="43">
        <v>28929000</v>
      </c>
      <c r="F69" s="43">
        <f>C69-G69</f>
        <v>1071000</v>
      </c>
      <c r="G69" s="43">
        <v>28929000</v>
      </c>
      <c r="H69" s="44">
        <v>100</v>
      </c>
      <c r="I69" s="28"/>
      <c r="J69" s="29"/>
      <c r="K69" s="30"/>
      <c r="L69" s="31"/>
    </row>
    <row r="70" spans="1:12" ht="27.75" thickBot="1" x14ac:dyDescent="0.3">
      <c r="A70" s="42"/>
      <c r="B70" s="42" t="s">
        <v>94</v>
      </c>
      <c r="C70" s="43">
        <v>30000000</v>
      </c>
      <c r="D70" s="42" t="s">
        <v>89</v>
      </c>
      <c r="E70" s="43">
        <v>27725000</v>
      </c>
      <c r="F70" s="43">
        <f>C70-G70</f>
        <v>2275000</v>
      </c>
      <c r="G70" s="43">
        <v>27725000</v>
      </c>
      <c r="H70" s="44">
        <v>100</v>
      </c>
      <c r="I70" s="28"/>
      <c r="J70" s="29"/>
      <c r="K70" s="30"/>
      <c r="L70" s="31"/>
    </row>
    <row r="71" spans="1:12" ht="27.75" thickBot="1" x14ac:dyDescent="0.3">
      <c r="A71" s="42"/>
      <c r="B71" s="42" t="s">
        <v>95</v>
      </c>
      <c r="C71" s="43">
        <v>30000000</v>
      </c>
      <c r="D71" s="42" t="s">
        <v>89</v>
      </c>
      <c r="E71" s="43">
        <v>27865800</v>
      </c>
      <c r="F71" s="43">
        <f>C71-G71</f>
        <v>2134200</v>
      </c>
      <c r="G71" s="43">
        <v>27865800</v>
      </c>
      <c r="H71" s="44">
        <v>100</v>
      </c>
      <c r="I71" s="28"/>
      <c r="J71" s="29"/>
      <c r="K71" s="30"/>
      <c r="L71" s="31"/>
    </row>
    <row r="72" spans="1:12" ht="17.25" thickBot="1" x14ac:dyDescent="0.3">
      <c r="A72" s="42"/>
      <c r="B72" s="42" t="s">
        <v>96</v>
      </c>
      <c r="C72" s="43">
        <v>330000000</v>
      </c>
      <c r="D72" s="42" t="s">
        <v>19</v>
      </c>
      <c r="E72" s="43">
        <v>0</v>
      </c>
      <c r="F72" s="43">
        <f>C72-G72</f>
        <v>17856000</v>
      </c>
      <c r="G72" s="43">
        <f>158088500+3576000+31254500+12440000+57245000+42300000+7000000+11000000+1200000-11960000</f>
        <v>312144000</v>
      </c>
      <c r="H72" s="44">
        <f>G72/C72*100</f>
        <v>94.589090909090913</v>
      </c>
      <c r="I72" s="28"/>
      <c r="J72" s="29"/>
      <c r="K72" s="30"/>
      <c r="L72" s="31"/>
    </row>
    <row r="73" spans="1:12" ht="17.25" thickBot="1" x14ac:dyDescent="0.3">
      <c r="A73" s="23" t="s">
        <v>97</v>
      </c>
      <c r="B73" s="24" t="s">
        <v>98</v>
      </c>
      <c r="C73" s="25">
        <f>SUM(C74)</f>
        <v>5838600000</v>
      </c>
      <c r="D73" s="23"/>
      <c r="E73" s="26"/>
      <c r="F73" s="25">
        <f>C73-G73</f>
        <v>87514794</v>
      </c>
      <c r="G73" s="25">
        <f>SUM(G74)</f>
        <v>5751085206</v>
      </c>
      <c r="H73" s="27">
        <f>H74</f>
        <v>99.4619401727888</v>
      </c>
      <c r="I73" s="28"/>
      <c r="J73" s="29"/>
      <c r="K73" s="30"/>
      <c r="L73" s="31"/>
    </row>
    <row r="74" spans="1:12" ht="27.75" thickBot="1" x14ac:dyDescent="0.3">
      <c r="A74" s="32" t="s">
        <v>99</v>
      </c>
      <c r="B74" s="32" t="s">
        <v>100</v>
      </c>
      <c r="C74" s="33">
        <f>SUM(C75,C94,C148,C161)</f>
        <v>5838600000</v>
      </c>
      <c r="D74" s="34"/>
      <c r="E74" s="35"/>
      <c r="F74" s="33">
        <f>C74-G74</f>
        <v>87514794</v>
      </c>
      <c r="G74" s="33">
        <f>SUM(G75,G94,G148,G161)</f>
        <v>5751085206</v>
      </c>
      <c r="H74" s="36">
        <f>AVERAGE(H75,H94,H148,H161)</f>
        <v>99.4619401727888</v>
      </c>
      <c r="I74" s="28"/>
      <c r="J74" s="29"/>
      <c r="K74" s="30"/>
      <c r="L74" s="31"/>
    </row>
    <row r="75" spans="1:12" ht="17.25" thickBot="1" x14ac:dyDescent="0.3">
      <c r="A75" s="37" t="s">
        <v>101</v>
      </c>
      <c r="B75" s="37" t="s">
        <v>102</v>
      </c>
      <c r="C75" s="38">
        <v>2250000000</v>
      </c>
      <c r="D75" s="39"/>
      <c r="E75" s="40"/>
      <c r="F75" s="38">
        <f>C75-G75</f>
        <v>46106602</v>
      </c>
      <c r="G75" s="40">
        <f>SUM(G76:G93)</f>
        <v>2203893398</v>
      </c>
      <c r="H75" s="41">
        <f>AVERAGE(H76:H92)</f>
        <v>100</v>
      </c>
      <c r="I75" s="28"/>
      <c r="J75" s="29"/>
      <c r="K75" s="30"/>
      <c r="L75" s="31"/>
    </row>
    <row r="76" spans="1:12" ht="17.25" thickBot="1" x14ac:dyDescent="0.3">
      <c r="A76" s="42"/>
      <c r="B76" s="42" t="s">
        <v>103</v>
      </c>
      <c r="C76" s="43">
        <v>115000000</v>
      </c>
      <c r="D76" s="42" t="s">
        <v>89</v>
      </c>
      <c r="E76" s="43">
        <v>111711000</v>
      </c>
      <c r="F76" s="43">
        <f>C76-G76</f>
        <v>3289000</v>
      </c>
      <c r="G76" s="43">
        <v>111711000</v>
      </c>
      <c r="H76" s="44">
        <v>100</v>
      </c>
      <c r="I76" s="28"/>
      <c r="J76" s="29"/>
      <c r="K76" s="30"/>
      <c r="L76" s="31"/>
    </row>
    <row r="77" spans="1:12" ht="17.25" thickBot="1" x14ac:dyDescent="0.3">
      <c r="A77" s="42"/>
      <c r="B77" s="42" t="s">
        <v>104</v>
      </c>
      <c r="C77" s="43">
        <v>115000000</v>
      </c>
      <c r="D77" s="42" t="s">
        <v>89</v>
      </c>
      <c r="E77" s="43">
        <v>113314000</v>
      </c>
      <c r="F77" s="43">
        <f>C77-G77</f>
        <v>1686000</v>
      </c>
      <c r="G77" s="43">
        <v>113314000</v>
      </c>
      <c r="H77" s="44">
        <v>100</v>
      </c>
      <c r="I77" s="28"/>
      <c r="J77" s="29"/>
      <c r="K77" s="30">
        <f>'[1]LAP APBD DESEMBER'!J40-'LAP PENGADAAN DESEMBER 2024'!E77</f>
        <v>1184071400</v>
      </c>
      <c r="L77" s="31"/>
    </row>
    <row r="78" spans="1:12" ht="17.25" thickBot="1" x14ac:dyDescent="0.3">
      <c r="A78" s="42"/>
      <c r="B78" s="42" t="s">
        <v>105</v>
      </c>
      <c r="C78" s="43">
        <v>115000000</v>
      </c>
      <c r="D78" s="42" t="s">
        <v>89</v>
      </c>
      <c r="E78" s="43">
        <v>112779000</v>
      </c>
      <c r="F78" s="43">
        <f>C78-G78</f>
        <v>2221000</v>
      </c>
      <c r="G78" s="43">
        <v>112779000</v>
      </c>
      <c r="H78" s="44">
        <v>100</v>
      </c>
      <c r="I78" s="28"/>
      <c r="J78" s="29"/>
      <c r="K78" s="30"/>
      <c r="L78" s="31"/>
    </row>
    <row r="79" spans="1:12" ht="17.25" thickBot="1" x14ac:dyDescent="0.3">
      <c r="A79" s="42"/>
      <c r="B79" s="42" t="s">
        <v>106</v>
      </c>
      <c r="C79" s="43">
        <v>115000000</v>
      </c>
      <c r="D79" s="42" t="s">
        <v>89</v>
      </c>
      <c r="E79" s="43">
        <v>111778000</v>
      </c>
      <c r="F79" s="43">
        <f>C79-G79</f>
        <v>3222000</v>
      </c>
      <c r="G79" s="43">
        <v>111778000</v>
      </c>
      <c r="H79" s="44">
        <v>100</v>
      </c>
      <c r="I79" s="28"/>
      <c r="J79" s="29"/>
      <c r="K79" s="30"/>
      <c r="L79" s="31"/>
    </row>
    <row r="80" spans="1:12" ht="17.25" thickBot="1" x14ac:dyDescent="0.3">
      <c r="A80" s="42"/>
      <c r="B80" s="42" t="s">
        <v>107</v>
      </c>
      <c r="C80" s="43">
        <v>115000000</v>
      </c>
      <c r="D80" s="42" t="s">
        <v>89</v>
      </c>
      <c r="E80" s="43">
        <v>112546000</v>
      </c>
      <c r="F80" s="43">
        <f>C80-G80</f>
        <v>2454000</v>
      </c>
      <c r="G80" s="43">
        <v>112546000</v>
      </c>
      <c r="H80" s="44">
        <v>100</v>
      </c>
      <c r="I80" s="28"/>
      <c r="J80" s="29"/>
      <c r="K80" s="30"/>
      <c r="L80" s="31"/>
    </row>
    <row r="81" spans="1:12" ht="17.25" thickBot="1" x14ac:dyDescent="0.3">
      <c r="A81" s="42"/>
      <c r="B81" s="42" t="s">
        <v>108</v>
      </c>
      <c r="C81" s="43">
        <v>115000000</v>
      </c>
      <c r="D81" s="42" t="s">
        <v>89</v>
      </c>
      <c r="E81" s="43">
        <v>112237000</v>
      </c>
      <c r="F81" s="43">
        <f>C81-G81</f>
        <v>2763000</v>
      </c>
      <c r="G81" s="43">
        <v>112237000</v>
      </c>
      <c r="H81" s="44">
        <v>100</v>
      </c>
      <c r="I81" s="28"/>
      <c r="J81" s="29"/>
      <c r="K81" s="30"/>
      <c r="L81" s="31"/>
    </row>
    <row r="82" spans="1:12" ht="17.25" thickBot="1" x14ac:dyDescent="0.3">
      <c r="A82" s="42"/>
      <c r="B82" s="42" t="s">
        <v>109</v>
      </c>
      <c r="C82" s="43">
        <v>115000000</v>
      </c>
      <c r="D82" s="42" t="s">
        <v>89</v>
      </c>
      <c r="E82" s="43">
        <v>113200000</v>
      </c>
      <c r="F82" s="43">
        <f>C82-G82</f>
        <v>1800000</v>
      </c>
      <c r="G82" s="43">
        <v>113200000</v>
      </c>
      <c r="H82" s="44">
        <v>100</v>
      </c>
      <c r="I82" s="28"/>
      <c r="J82" s="29"/>
      <c r="K82" s="30"/>
      <c r="L82" s="31"/>
    </row>
    <row r="83" spans="1:12" ht="17.25" thickBot="1" x14ac:dyDescent="0.3">
      <c r="A83" s="42"/>
      <c r="B83" s="42" t="s">
        <v>110</v>
      </c>
      <c r="C83" s="43">
        <v>115000000</v>
      </c>
      <c r="D83" s="42" t="s">
        <v>89</v>
      </c>
      <c r="E83" s="43">
        <v>113287000</v>
      </c>
      <c r="F83" s="43">
        <f>C83-G83</f>
        <v>1713000</v>
      </c>
      <c r="G83" s="43">
        <v>113287000</v>
      </c>
      <c r="H83" s="44">
        <v>100</v>
      </c>
      <c r="I83" s="28"/>
      <c r="J83" s="29"/>
      <c r="K83" s="30"/>
      <c r="L83" s="31"/>
    </row>
    <row r="84" spans="1:12" ht="17.25" thickBot="1" x14ac:dyDescent="0.3">
      <c r="A84" s="42"/>
      <c r="B84" s="42" t="s">
        <v>111</v>
      </c>
      <c r="C84" s="43">
        <v>115000000</v>
      </c>
      <c r="D84" s="42" t="s">
        <v>89</v>
      </c>
      <c r="E84" s="43">
        <v>113307000</v>
      </c>
      <c r="F84" s="43">
        <f>C84-G84</f>
        <v>1693000</v>
      </c>
      <c r="G84" s="43">
        <v>113307000</v>
      </c>
      <c r="H84" s="44">
        <v>100</v>
      </c>
      <c r="I84" s="28"/>
      <c r="J84" s="29"/>
      <c r="K84" s="30"/>
      <c r="L84" s="31"/>
    </row>
    <row r="85" spans="1:12" ht="27.75" thickBot="1" x14ac:dyDescent="0.3">
      <c r="A85" s="42"/>
      <c r="B85" s="42" t="s">
        <v>112</v>
      </c>
      <c r="C85" s="43">
        <v>115000000</v>
      </c>
      <c r="D85" s="42" t="s">
        <v>89</v>
      </c>
      <c r="E85" s="43">
        <v>112853000</v>
      </c>
      <c r="F85" s="43">
        <f>C85-G85</f>
        <v>2147000</v>
      </c>
      <c r="G85" s="43">
        <v>112853000</v>
      </c>
      <c r="H85" s="44">
        <v>100</v>
      </c>
      <c r="I85" s="28"/>
      <c r="J85" s="29"/>
      <c r="K85" s="30"/>
      <c r="L85" s="31"/>
    </row>
    <row r="86" spans="1:12" ht="17.25" thickBot="1" x14ac:dyDescent="0.3">
      <c r="A86" s="42"/>
      <c r="B86" s="42" t="s">
        <v>113</v>
      </c>
      <c r="C86" s="43">
        <v>115000000</v>
      </c>
      <c r="D86" s="42" t="s">
        <v>89</v>
      </c>
      <c r="E86" s="43">
        <v>113016000</v>
      </c>
      <c r="F86" s="43">
        <f>C86-G86</f>
        <v>1984000</v>
      </c>
      <c r="G86" s="43">
        <v>113016000</v>
      </c>
      <c r="H86" s="44">
        <v>100</v>
      </c>
      <c r="I86" s="28"/>
      <c r="J86" s="29"/>
      <c r="K86" s="30"/>
      <c r="L86" s="31"/>
    </row>
    <row r="87" spans="1:12" ht="17.25" thickBot="1" x14ac:dyDescent="0.3">
      <c r="A87" s="42"/>
      <c r="B87" s="42" t="s">
        <v>114</v>
      </c>
      <c r="C87" s="43">
        <v>115000000</v>
      </c>
      <c r="D87" s="42" t="s">
        <v>89</v>
      </c>
      <c r="E87" s="43">
        <v>112695000</v>
      </c>
      <c r="F87" s="43">
        <f>C87-G87</f>
        <v>2305000</v>
      </c>
      <c r="G87" s="43">
        <v>112695000</v>
      </c>
      <c r="H87" s="44">
        <v>100</v>
      </c>
      <c r="I87" s="28"/>
      <c r="J87" s="29"/>
      <c r="K87" s="30"/>
      <c r="L87" s="31"/>
    </row>
    <row r="88" spans="1:12" ht="17.25" thickBot="1" x14ac:dyDescent="0.3">
      <c r="A88" s="42"/>
      <c r="B88" s="42" t="s">
        <v>115</v>
      </c>
      <c r="C88" s="43">
        <v>115000000</v>
      </c>
      <c r="D88" s="42" t="s">
        <v>89</v>
      </c>
      <c r="E88" s="43">
        <v>113458000</v>
      </c>
      <c r="F88" s="43">
        <f>C88-G88</f>
        <v>1542000</v>
      </c>
      <c r="G88" s="43">
        <v>113458000</v>
      </c>
      <c r="H88" s="44">
        <v>100</v>
      </c>
      <c r="I88" s="28"/>
      <c r="J88" s="29"/>
      <c r="K88" s="30"/>
      <c r="L88" s="31"/>
    </row>
    <row r="89" spans="1:12" ht="17.25" thickBot="1" x14ac:dyDescent="0.3">
      <c r="A89" s="42"/>
      <c r="B89" s="42" t="s">
        <v>116</v>
      </c>
      <c r="C89" s="43">
        <v>142000000</v>
      </c>
      <c r="D89" s="42" t="s">
        <v>89</v>
      </c>
      <c r="E89" s="43">
        <v>139868000</v>
      </c>
      <c r="F89" s="43">
        <f>C89-G89</f>
        <v>2132000</v>
      </c>
      <c r="G89" s="43">
        <v>139868000</v>
      </c>
      <c r="H89" s="44">
        <v>100</v>
      </c>
      <c r="I89" s="28"/>
      <c r="J89" s="29"/>
      <c r="K89" s="30"/>
      <c r="L89" s="31"/>
    </row>
    <row r="90" spans="1:12" ht="17.25" thickBot="1" x14ac:dyDescent="0.3">
      <c r="A90" s="42"/>
      <c r="B90" s="42" t="s">
        <v>117</v>
      </c>
      <c r="C90" s="43">
        <v>142000000</v>
      </c>
      <c r="D90" s="42" t="s">
        <v>89</v>
      </c>
      <c r="E90" s="43">
        <v>140515000</v>
      </c>
      <c r="F90" s="43">
        <f>C90-G90</f>
        <v>1485000</v>
      </c>
      <c r="G90" s="43">
        <v>140515000</v>
      </c>
      <c r="H90" s="44">
        <v>100</v>
      </c>
      <c r="I90" s="28"/>
      <c r="J90" s="29"/>
      <c r="K90" s="30"/>
      <c r="L90" s="31"/>
    </row>
    <row r="91" spans="1:12" ht="17.25" thickBot="1" x14ac:dyDescent="0.3">
      <c r="A91" s="42"/>
      <c r="B91" s="42" t="s">
        <v>118</v>
      </c>
      <c r="C91" s="43">
        <v>142000000</v>
      </c>
      <c r="D91" s="42" t="s">
        <v>89</v>
      </c>
      <c r="E91" s="43">
        <v>139641000</v>
      </c>
      <c r="F91" s="43">
        <f>C91-G91</f>
        <v>2359000</v>
      </c>
      <c r="G91" s="43">
        <v>139641000</v>
      </c>
      <c r="H91" s="44">
        <v>100</v>
      </c>
      <c r="I91" s="28"/>
      <c r="J91" s="29"/>
      <c r="K91" s="30"/>
      <c r="L91" s="31"/>
    </row>
    <row r="92" spans="1:12" ht="17.25" thickBot="1" x14ac:dyDescent="0.3">
      <c r="A92" s="42"/>
      <c r="B92" s="42" t="s">
        <v>119</v>
      </c>
      <c r="C92" s="43">
        <v>115000000</v>
      </c>
      <c r="D92" s="42" t="s">
        <v>89</v>
      </c>
      <c r="E92" s="43">
        <v>111826000</v>
      </c>
      <c r="F92" s="43">
        <f>C92-G92</f>
        <v>3174000</v>
      </c>
      <c r="G92" s="43">
        <v>111826000</v>
      </c>
      <c r="H92" s="44">
        <v>100</v>
      </c>
      <c r="I92" s="28"/>
      <c r="J92" s="29"/>
      <c r="K92" s="30"/>
      <c r="L92" s="31"/>
    </row>
    <row r="93" spans="1:12" ht="17.25" thickBot="1" x14ac:dyDescent="0.3">
      <c r="A93" s="42"/>
      <c r="B93" s="42" t="s">
        <v>120</v>
      </c>
      <c r="C93" s="43">
        <v>214000000</v>
      </c>
      <c r="D93" s="42" t="s">
        <v>19</v>
      </c>
      <c r="E93" s="43">
        <f>G93</f>
        <v>205862398</v>
      </c>
      <c r="F93" s="43">
        <f>C93-G93</f>
        <v>8137602</v>
      </c>
      <c r="G93" s="43">
        <f>202022898+2748200+1091300</f>
        <v>205862398</v>
      </c>
      <c r="H93" s="44">
        <f>G93/C93*100</f>
        <v>96.197382242990656</v>
      </c>
      <c r="I93" s="28"/>
      <c r="J93" s="29"/>
      <c r="K93" s="30"/>
      <c r="L93" s="31"/>
    </row>
    <row r="94" spans="1:12" ht="17.25" thickBot="1" x14ac:dyDescent="0.3">
      <c r="A94" s="37" t="s">
        <v>121</v>
      </c>
      <c r="B94" s="37" t="s">
        <v>122</v>
      </c>
      <c r="C94" s="38">
        <f>SUM(C95:C147)</f>
        <v>3232300000</v>
      </c>
      <c r="D94" s="39"/>
      <c r="E94" s="40"/>
      <c r="F94" s="38">
        <f>SUM(F95:F147)</f>
        <v>26664414</v>
      </c>
      <c r="G94" s="38">
        <f>SUM(G95:G147)</f>
        <v>3202557808</v>
      </c>
      <c r="H94" s="45">
        <f>AVERAGE(H95:H99,H100,H103:H114,H116:H124,H126:H137,H139:H147)</f>
        <v>99.889989370632534</v>
      </c>
      <c r="I94" s="28"/>
      <c r="J94" s="29"/>
      <c r="K94" s="30"/>
      <c r="L94" s="31"/>
    </row>
    <row r="95" spans="1:12" ht="17.25" thickBot="1" x14ac:dyDescent="0.3">
      <c r="A95" s="42"/>
      <c r="B95" s="42" t="s">
        <v>123</v>
      </c>
      <c r="C95" s="43">
        <v>1760000000</v>
      </c>
      <c r="D95" s="42" t="s">
        <v>72</v>
      </c>
      <c r="E95" s="43">
        <v>965722222</v>
      </c>
      <c r="F95" s="43" t="s">
        <v>85</v>
      </c>
      <c r="G95" s="43">
        <f>1624922222+132000000</f>
        <v>1756922222</v>
      </c>
      <c r="H95" s="44">
        <v>100</v>
      </c>
      <c r="I95" s="28"/>
      <c r="J95" s="29"/>
      <c r="K95" s="30"/>
      <c r="L95" s="31"/>
    </row>
    <row r="96" spans="1:12" ht="17.25" thickBot="1" x14ac:dyDescent="0.3">
      <c r="A96" s="42"/>
      <c r="B96" s="42" t="s">
        <v>124</v>
      </c>
      <c r="C96" s="43">
        <v>65000000</v>
      </c>
      <c r="D96" s="42" t="s">
        <v>50</v>
      </c>
      <c r="E96" s="43">
        <v>64897480</v>
      </c>
      <c r="F96" s="43">
        <f>C96-G96</f>
        <v>102520</v>
      </c>
      <c r="G96" s="43">
        <v>64897480</v>
      </c>
      <c r="H96" s="44">
        <v>100</v>
      </c>
      <c r="I96" s="28"/>
      <c r="J96" s="29"/>
      <c r="K96" s="30"/>
      <c r="L96" s="31"/>
    </row>
    <row r="97" spans="1:12" ht="17.25" thickBot="1" x14ac:dyDescent="0.3">
      <c r="A97" s="42"/>
      <c r="B97" s="42" t="s">
        <v>125</v>
      </c>
      <c r="C97" s="43">
        <v>50000000</v>
      </c>
      <c r="D97" s="42" t="s">
        <v>89</v>
      </c>
      <c r="E97" s="46">
        <v>49035000</v>
      </c>
      <c r="F97" s="43">
        <f>C97-G97</f>
        <v>965000</v>
      </c>
      <c r="G97" s="29">
        <v>49035000</v>
      </c>
      <c r="H97" s="44">
        <v>100</v>
      </c>
      <c r="I97" s="28"/>
      <c r="J97" s="29"/>
      <c r="K97" s="30"/>
      <c r="L97" s="31"/>
    </row>
    <row r="98" spans="1:12" ht="17.25" thickBot="1" x14ac:dyDescent="0.3">
      <c r="A98" s="42"/>
      <c r="B98" s="42" t="s">
        <v>126</v>
      </c>
      <c r="C98" s="43">
        <v>50000000</v>
      </c>
      <c r="D98" s="42" t="s">
        <v>50</v>
      </c>
      <c r="E98" s="43">
        <v>49482690</v>
      </c>
      <c r="F98" s="43">
        <f>C98-G98</f>
        <v>517310</v>
      </c>
      <c r="G98" s="43">
        <v>49482690</v>
      </c>
      <c r="H98" s="44">
        <v>100</v>
      </c>
      <c r="I98" s="28"/>
      <c r="J98" s="29"/>
      <c r="K98" s="30"/>
      <c r="L98" s="31"/>
    </row>
    <row r="99" spans="1:12" ht="17.25" thickBot="1" x14ac:dyDescent="0.3">
      <c r="A99" s="42"/>
      <c r="B99" s="42" t="s">
        <v>127</v>
      </c>
      <c r="C99" s="43">
        <v>40000000</v>
      </c>
      <c r="D99" s="42" t="s">
        <v>50</v>
      </c>
      <c r="E99" s="43">
        <v>39674730</v>
      </c>
      <c r="F99" s="43">
        <f>C99-G99</f>
        <v>325270</v>
      </c>
      <c r="G99" s="43">
        <v>39674730</v>
      </c>
      <c r="H99" s="44">
        <v>100</v>
      </c>
      <c r="I99" s="28"/>
      <c r="J99" s="29"/>
      <c r="K99" s="30"/>
      <c r="L99" s="31"/>
    </row>
    <row r="100" spans="1:12" ht="17.25" thickBot="1" x14ac:dyDescent="0.3">
      <c r="A100" s="42"/>
      <c r="B100" s="42" t="s">
        <v>128</v>
      </c>
      <c r="C100" s="43">
        <v>367300000</v>
      </c>
      <c r="D100" s="42" t="s">
        <v>19</v>
      </c>
      <c r="E100" s="43">
        <f>G100</f>
        <v>347904686</v>
      </c>
      <c r="F100" s="43">
        <f>C100-G100</f>
        <v>19395314</v>
      </c>
      <c r="G100" s="43">
        <f>283546500+64358186+1019300-1019300</f>
        <v>347904686</v>
      </c>
      <c r="H100" s="44">
        <f>G100/C100*100</f>
        <v>94.719489790362104</v>
      </c>
      <c r="I100" s="28"/>
      <c r="J100" s="29"/>
      <c r="K100" s="30"/>
      <c r="L100" s="31"/>
    </row>
    <row r="101" spans="1:12" ht="27.75" thickBot="1" x14ac:dyDescent="0.3">
      <c r="A101" s="42"/>
      <c r="B101" s="42" t="s">
        <v>129</v>
      </c>
      <c r="C101" s="47">
        <v>0</v>
      </c>
      <c r="D101" s="42" t="s">
        <v>130</v>
      </c>
      <c r="E101" s="43">
        <v>0</v>
      </c>
      <c r="F101" s="43">
        <f>C101-G101</f>
        <v>0</v>
      </c>
      <c r="G101" s="43">
        <v>0</v>
      </c>
      <c r="H101" s="44">
        <v>0</v>
      </c>
      <c r="I101" s="28"/>
      <c r="J101" s="29"/>
      <c r="K101" s="30"/>
      <c r="L101" s="31"/>
    </row>
    <row r="102" spans="1:12" ht="17.25" thickBot="1" x14ac:dyDescent="0.3">
      <c r="A102" s="42"/>
      <c r="B102" s="42" t="s">
        <v>131</v>
      </c>
      <c r="C102" s="43">
        <v>0</v>
      </c>
      <c r="D102" s="42" t="s">
        <v>130</v>
      </c>
      <c r="E102" s="43">
        <v>0</v>
      </c>
      <c r="F102" s="43">
        <f>C102-G102</f>
        <v>0</v>
      </c>
      <c r="G102" s="43">
        <v>0</v>
      </c>
      <c r="H102" s="44">
        <v>0</v>
      </c>
      <c r="I102" s="28"/>
      <c r="J102" s="29"/>
      <c r="K102" s="30"/>
      <c r="L102" s="31"/>
    </row>
    <row r="103" spans="1:12" ht="27.75" thickBot="1" x14ac:dyDescent="0.3">
      <c r="A103" s="42"/>
      <c r="B103" s="42" t="s">
        <v>132</v>
      </c>
      <c r="C103" s="43">
        <v>14347000</v>
      </c>
      <c r="D103" s="42" t="s">
        <v>72</v>
      </c>
      <c r="E103" s="43">
        <v>14141000</v>
      </c>
      <c r="F103" s="43">
        <f>C103-G103</f>
        <v>206000</v>
      </c>
      <c r="G103" s="43">
        <v>14141000</v>
      </c>
      <c r="H103" s="44">
        <v>100</v>
      </c>
      <c r="I103" s="28"/>
      <c r="J103" s="29"/>
      <c r="K103" s="30"/>
      <c r="L103" s="31"/>
    </row>
    <row r="104" spans="1:12" ht="27.75" thickBot="1" x14ac:dyDescent="0.3">
      <c r="A104" s="42"/>
      <c r="B104" s="42" t="s">
        <v>133</v>
      </c>
      <c r="C104" s="43">
        <v>14966000</v>
      </c>
      <c r="D104" s="42" t="s">
        <v>72</v>
      </c>
      <c r="E104" s="43">
        <v>14784000</v>
      </c>
      <c r="F104" s="43">
        <f>C104-G104</f>
        <v>182000</v>
      </c>
      <c r="G104" s="43">
        <v>14784000</v>
      </c>
      <c r="H104" s="44">
        <v>100</v>
      </c>
      <c r="I104" s="28"/>
      <c r="J104" s="29"/>
      <c r="K104" s="30"/>
      <c r="L104" s="31"/>
    </row>
    <row r="105" spans="1:12" ht="27.75" thickBot="1" x14ac:dyDescent="0.3">
      <c r="A105" s="42"/>
      <c r="B105" s="42" t="s">
        <v>134</v>
      </c>
      <c r="C105" s="43">
        <v>14279000</v>
      </c>
      <c r="D105" s="42" t="s">
        <v>72</v>
      </c>
      <c r="E105" s="43">
        <v>14114000</v>
      </c>
      <c r="F105" s="43">
        <f>C105-G105</f>
        <v>165000</v>
      </c>
      <c r="G105" s="43">
        <v>14114000</v>
      </c>
      <c r="H105" s="44">
        <v>100</v>
      </c>
      <c r="I105" s="28"/>
      <c r="J105" s="29"/>
      <c r="K105" s="30"/>
      <c r="L105" s="31"/>
    </row>
    <row r="106" spans="1:12" ht="27.75" thickBot="1" x14ac:dyDescent="0.3">
      <c r="A106" s="42"/>
      <c r="B106" s="42" t="s">
        <v>135</v>
      </c>
      <c r="C106" s="43">
        <v>5143000</v>
      </c>
      <c r="D106" s="42" t="s">
        <v>72</v>
      </c>
      <c r="E106" s="43">
        <v>5094000</v>
      </c>
      <c r="F106" s="43">
        <f>C106-G106</f>
        <v>49000</v>
      </c>
      <c r="G106" s="43">
        <v>5094000</v>
      </c>
      <c r="H106" s="44">
        <v>100</v>
      </c>
      <c r="I106" s="28"/>
      <c r="J106" s="29"/>
      <c r="K106" s="30"/>
      <c r="L106" s="31"/>
    </row>
    <row r="107" spans="1:12" ht="27.75" thickBot="1" x14ac:dyDescent="0.3">
      <c r="A107" s="42"/>
      <c r="B107" s="42" t="s">
        <v>136</v>
      </c>
      <c r="C107" s="43">
        <v>17231000</v>
      </c>
      <c r="D107" s="42" t="s">
        <v>72</v>
      </c>
      <c r="E107" s="43">
        <v>17143000</v>
      </c>
      <c r="F107" s="43">
        <f>C107-G107</f>
        <v>88000</v>
      </c>
      <c r="G107" s="43">
        <v>17143000</v>
      </c>
      <c r="H107" s="44">
        <v>100</v>
      </c>
      <c r="I107" s="28"/>
      <c r="J107" s="29"/>
      <c r="K107" s="30"/>
      <c r="L107" s="31"/>
    </row>
    <row r="108" spans="1:12" ht="27.75" thickBot="1" x14ac:dyDescent="0.3">
      <c r="A108" s="42"/>
      <c r="B108" s="42" t="s">
        <v>137</v>
      </c>
      <c r="C108" s="43">
        <v>18927000</v>
      </c>
      <c r="D108" s="42" t="s">
        <v>72</v>
      </c>
      <c r="E108" s="43">
        <v>18862000</v>
      </c>
      <c r="F108" s="43">
        <f>C108-G108</f>
        <v>65000</v>
      </c>
      <c r="G108" s="43">
        <v>18862000</v>
      </c>
      <c r="H108" s="44">
        <v>100</v>
      </c>
      <c r="I108" s="28"/>
      <c r="J108" s="29"/>
      <c r="K108" s="30"/>
      <c r="L108" s="31"/>
    </row>
    <row r="109" spans="1:12" ht="27.75" thickBot="1" x14ac:dyDescent="0.3">
      <c r="A109" s="42"/>
      <c r="B109" s="42" t="s">
        <v>138</v>
      </c>
      <c r="C109" s="43">
        <v>13745000</v>
      </c>
      <c r="D109" s="42" t="s">
        <v>72</v>
      </c>
      <c r="E109" s="43">
        <v>13592000</v>
      </c>
      <c r="F109" s="43">
        <f>C109-G109</f>
        <v>153000</v>
      </c>
      <c r="G109" s="43">
        <v>13592000</v>
      </c>
      <c r="H109" s="44">
        <v>100</v>
      </c>
      <c r="I109" s="28"/>
      <c r="J109" s="29"/>
      <c r="K109" s="30"/>
      <c r="L109" s="31"/>
    </row>
    <row r="110" spans="1:12" ht="27.75" thickBot="1" x14ac:dyDescent="0.3">
      <c r="A110" s="42"/>
      <c r="B110" s="42" t="s">
        <v>139</v>
      </c>
      <c r="C110" s="43">
        <v>18599000</v>
      </c>
      <c r="D110" s="42" t="s">
        <v>72</v>
      </c>
      <c r="E110" s="43">
        <v>18381000</v>
      </c>
      <c r="F110" s="43">
        <f>C110-G110</f>
        <v>218000</v>
      </c>
      <c r="G110" s="43">
        <v>18381000</v>
      </c>
      <c r="H110" s="44">
        <v>100</v>
      </c>
      <c r="I110" s="28"/>
      <c r="J110" s="29"/>
      <c r="K110" s="30"/>
      <c r="L110" s="31"/>
    </row>
    <row r="111" spans="1:12" ht="27.75" thickBot="1" x14ac:dyDescent="0.3">
      <c r="A111" s="42"/>
      <c r="B111" s="42" t="s">
        <v>140</v>
      </c>
      <c r="C111" s="43">
        <v>45674000</v>
      </c>
      <c r="D111" s="42" t="s">
        <v>72</v>
      </c>
      <c r="E111" s="43">
        <v>45491000</v>
      </c>
      <c r="F111" s="43">
        <f>C111-G111</f>
        <v>183000</v>
      </c>
      <c r="G111" s="43">
        <v>45491000</v>
      </c>
      <c r="H111" s="44">
        <v>100</v>
      </c>
      <c r="I111" s="28"/>
      <c r="J111" s="29"/>
      <c r="K111" s="30"/>
      <c r="L111" s="31"/>
    </row>
    <row r="112" spans="1:12" ht="27.75" thickBot="1" x14ac:dyDescent="0.3">
      <c r="A112" s="42"/>
      <c r="B112" s="42" t="s">
        <v>141</v>
      </c>
      <c r="C112" s="43">
        <v>17341000</v>
      </c>
      <c r="D112" s="42" t="s">
        <v>72</v>
      </c>
      <c r="E112" s="43">
        <v>17149000</v>
      </c>
      <c r="F112" s="43">
        <f>C112-G112</f>
        <v>192000</v>
      </c>
      <c r="G112" s="43">
        <v>17149000</v>
      </c>
      <c r="H112" s="44">
        <v>100</v>
      </c>
      <c r="I112" s="28"/>
      <c r="J112" s="29"/>
      <c r="K112" s="30"/>
      <c r="L112" s="31"/>
    </row>
    <row r="113" spans="1:12" ht="27.75" thickBot="1" x14ac:dyDescent="0.3">
      <c r="A113" s="42"/>
      <c r="B113" s="42" t="s">
        <v>142</v>
      </c>
      <c r="C113" s="43">
        <v>13754000</v>
      </c>
      <c r="D113" s="42" t="s">
        <v>72</v>
      </c>
      <c r="E113" s="43">
        <v>13589000</v>
      </c>
      <c r="F113" s="43">
        <f>C113-G113</f>
        <v>165000</v>
      </c>
      <c r="G113" s="43">
        <v>13589000</v>
      </c>
      <c r="H113" s="44">
        <v>100</v>
      </c>
      <c r="I113" s="28"/>
      <c r="J113" s="29"/>
      <c r="K113" s="30"/>
      <c r="L113" s="31"/>
    </row>
    <row r="114" spans="1:12" ht="27.75" thickBot="1" x14ac:dyDescent="0.3">
      <c r="A114" s="42"/>
      <c r="B114" s="42" t="s">
        <v>143</v>
      </c>
      <c r="C114" s="43">
        <v>14933000</v>
      </c>
      <c r="D114" s="42" t="s">
        <v>72</v>
      </c>
      <c r="E114" s="43">
        <v>14720000</v>
      </c>
      <c r="F114" s="43">
        <f>C114-G114</f>
        <v>213000</v>
      </c>
      <c r="G114" s="43">
        <v>14720000</v>
      </c>
      <c r="H114" s="44">
        <v>100</v>
      </c>
      <c r="I114" s="28"/>
      <c r="J114" s="29"/>
      <c r="K114" s="30"/>
      <c r="L114" s="31"/>
    </row>
    <row r="115" spans="1:12" ht="17.25" thickBot="1" x14ac:dyDescent="0.3">
      <c r="A115" s="42"/>
      <c r="B115" s="42" t="s">
        <v>144</v>
      </c>
      <c r="C115" s="47">
        <v>0</v>
      </c>
      <c r="D115" s="42" t="s">
        <v>130</v>
      </c>
      <c r="E115" s="43">
        <v>0</v>
      </c>
      <c r="F115" s="43">
        <f>C115-G115</f>
        <v>0</v>
      </c>
      <c r="G115" s="43">
        <v>0</v>
      </c>
      <c r="H115" s="44">
        <v>0</v>
      </c>
      <c r="I115" s="28"/>
      <c r="J115" s="29"/>
      <c r="K115" s="30"/>
      <c r="L115" s="31"/>
    </row>
    <row r="116" spans="1:12" ht="27.75" thickBot="1" x14ac:dyDescent="0.3">
      <c r="A116" s="42"/>
      <c r="B116" s="42" t="s">
        <v>145</v>
      </c>
      <c r="C116" s="43">
        <v>8304000</v>
      </c>
      <c r="D116" s="42" t="s">
        <v>72</v>
      </c>
      <c r="E116" s="43">
        <v>8177000</v>
      </c>
      <c r="F116" s="43">
        <f>C116-G116</f>
        <v>127000</v>
      </c>
      <c r="G116" s="43">
        <v>8177000</v>
      </c>
      <c r="H116" s="44">
        <v>100</v>
      </c>
      <c r="I116" s="28"/>
      <c r="J116" s="29"/>
      <c r="K116" s="30"/>
      <c r="L116" s="31"/>
    </row>
    <row r="117" spans="1:12" ht="27.75" thickBot="1" x14ac:dyDescent="0.3">
      <c r="A117" s="42"/>
      <c r="B117" s="42" t="s">
        <v>146</v>
      </c>
      <c r="C117" s="43">
        <v>14754000</v>
      </c>
      <c r="D117" s="42" t="s">
        <v>72</v>
      </c>
      <c r="E117" s="43">
        <v>14586000</v>
      </c>
      <c r="F117" s="43">
        <f>C117-G117</f>
        <v>168000</v>
      </c>
      <c r="G117" s="43">
        <v>14586000</v>
      </c>
      <c r="H117" s="44">
        <v>100</v>
      </c>
      <c r="I117" s="28"/>
      <c r="J117" s="29"/>
      <c r="K117" s="30"/>
      <c r="L117" s="31"/>
    </row>
    <row r="118" spans="1:12" ht="27.75" thickBot="1" x14ac:dyDescent="0.3">
      <c r="A118" s="42"/>
      <c r="B118" s="42" t="s">
        <v>147</v>
      </c>
      <c r="C118" s="43">
        <v>14643000</v>
      </c>
      <c r="D118" s="42" t="s">
        <v>72</v>
      </c>
      <c r="E118" s="43">
        <v>14402000</v>
      </c>
      <c r="F118" s="43">
        <f>C118-G118</f>
        <v>241000</v>
      </c>
      <c r="G118" s="43">
        <v>14402000</v>
      </c>
      <c r="H118" s="44">
        <v>100</v>
      </c>
      <c r="I118" s="28"/>
      <c r="J118" s="29"/>
      <c r="K118" s="30"/>
      <c r="L118" s="31"/>
    </row>
    <row r="119" spans="1:12" ht="27.75" thickBot="1" x14ac:dyDescent="0.3">
      <c r="A119" s="42"/>
      <c r="B119" s="42" t="s">
        <v>148</v>
      </c>
      <c r="C119" s="43">
        <v>10218000</v>
      </c>
      <c r="D119" s="42" t="s">
        <v>72</v>
      </c>
      <c r="E119" s="43">
        <v>10097000</v>
      </c>
      <c r="F119" s="43">
        <f>C119-G119</f>
        <v>121000</v>
      </c>
      <c r="G119" s="43">
        <v>10097000</v>
      </c>
      <c r="H119" s="44">
        <v>100</v>
      </c>
      <c r="I119" s="28"/>
      <c r="J119" s="29"/>
      <c r="K119" s="30"/>
      <c r="L119" s="31"/>
    </row>
    <row r="120" spans="1:12" ht="27.75" thickBot="1" x14ac:dyDescent="0.3">
      <c r="A120" s="42"/>
      <c r="B120" s="42" t="s">
        <v>149</v>
      </c>
      <c r="C120" s="43">
        <v>11784000</v>
      </c>
      <c r="D120" s="42" t="s">
        <v>72</v>
      </c>
      <c r="E120" s="43">
        <v>11656000</v>
      </c>
      <c r="F120" s="43">
        <f>C120-G120</f>
        <v>128000</v>
      </c>
      <c r="G120" s="43">
        <v>11656000</v>
      </c>
      <c r="H120" s="44">
        <v>100</v>
      </c>
      <c r="I120" s="28"/>
      <c r="J120" s="29"/>
      <c r="K120" s="30"/>
      <c r="L120" s="31"/>
    </row>
    <row r="121" spans="1:12" ht="27.75" thickBot="1" x14ac:dyDescent="0.3">
      <c r="A121" s="42"/>
      <c r="B121" s="42" t="s">
        <v>150</v>
      </c>
      <c r="C121" s="43">
        <v>11782000</v>
      </c>
      <c r="D121" s="42" t="s">
        <v>72</v>
      </c>
      <c r="E121" s="43">
        <v>11644000</v>
      </c>
      <c r="F121" s="43">
        <f>C121-G121</f>
        <v>138000</v>
      </c>
      <c r="G121" s="43">
        <v>11644000</v>
      </c>
      <c r="H121" s="44">
        <v>100</v>
      </c>
      <c r="I121" s="28"/>
      <c r="J121" s="29"/>
      <c r="K121" s="30"/>
      <c r="L121" s="31"/>
    </row>
    <row r="122" spans="1:12" ht="27.75" thickBot="1" x14ac:dyDescent="0.3">
      <c r="A122" s="42"/>
      <c r="B122" s="42" t="s">
        <v>151</v>
      </c>
      <c r="C122" s="43">
        <v>12279000</v>
      </c>
      <c r="D122" s="42" t="s">
        <v>72</v>
      </c>
      <c r="E122" s="43">
        <v>12137000</v>
      </c>
      <c r="F122" s="43">
        <f>C122-G122</f>
        <v>142000</v>
      </c>
      <c r="G122" s="43">
        <v>12137000</v>
      </c>
      <c r="H122" s="44">
        <v>100</v>
      </c>
      <c r="I122" s="28"/>
      <c r="J122" s="29"/>
      <c r="K122" s="30"/>
      <c r="L122" s="31"/>
    </row>
    <row r="123" spans="1:12" ht="27.75" thickBot="1" x14ac:dyDescent="0.3">
      <c r="A123" s="42"/>
      <c r="B123" s="42" t="s">
        <v>152</v>
      </c>
      <c r="C123" s="43">
        <v>23001000</v>
      </c>
      <c r="D123" s="42" t="s">
        <v>72</v>
      </c>
      <c r="E123" s="43">
        <v>22757000</v>
      </c>
      <c r="F123" s="43">
        <f>C123-G123</f>
        <v>244000</v>
      </c>
      <c r="G123" s="43">
        <v>22757000</v>
      </c>
      <c r="H123" s="44">
        <v>100</v>
      </c>
      <c r="I123" s="28"/>
      <c r="J123" s="29"/>
      <c r="K123" s="30"/>
      <c r="L123" s="31"/>
    </row>
    <row r="124" spans="1:12" ht="27.75" thickBot="1" x14ac:dyDescent="0.3">
      <c r="A124" s="42"/>
      <c r="B124" s="42" t="s">
        <v>153</v>
      </c>
      <c r="C124" s="43">
        <v>12286000</v>
      </c>
      <c r="D124" s="42" t="s">
        <v>72</v>
      </c>
      <c r="E124" s="43">
        <v>12095000</v>
      </c>
      <c r="F124" s="43">
        <f>C124-G124</f>
        <v>191000</v>
      </c>
      <c r="G124" s="43">
        <v>12095000</v>
      </c>
      <c r="H124" s="44">
        <v>100</v>
      </c>
      <c r="I124" s="28"/>
      <c r="J124" s="29"/>
      <c r="K124" s="30"/>
      <c r="L124" s="31"/>
    </row>
    <row r="125" spans="1:12" ht="17.25" thickBot="1" x14ac:dyDescent="0.3">
      <c r="A125" s="42"/>
      <c r="B125" s="42" t="s">
        <v>154</v>
      </c>
      <c r="C125" s="47">
        <v>0</v>
      </c>
      <c r="D125" s="42" t="s">
        <v>130</v>
      </c>
      <c r="E125" s="43">
        <v>0</v>
      </c>
      <c r="F125" s="43">
        <f>C125-G125</f>
        <v>0</v>
      </c>
      <c r="G125" s="43">
        <v>0</v>
      </c>
      <c r="H125" s="44">
        <v>0</v>
      </c>
      <c r="I125" s="28"/>
      <c r="J125" s="29"/>
      <c r="K125" s="30"/>
      <c r="L125" s="31"/>
    </row>
    <row r="126" spans="1:12" ht="27.75" thickBot="1" x14ac:dyDescent="0.3">
      <c r="A126" s="42"/>
      <c r="B126" s="42" t="s">
        <v>155</v>
      </c>
      <c r="C126" s="43">
        <v>25653000</v>
      </c>
      <c r="D126" s="42" t="s">
        <v>50</v>
      </c>
      <c r="E126" s="43">
        <v>25550000</v>
      </c>
      <c r="F126" s="43">
        <f>C126-G126</f>
        <v>103000</v>
      </c>
      <c r="G126" s="43">
        <v>25550000</v>
      </c>
      <c r="H126" s="44">
        <v>100</v>
      </c>
      <c r="I126" s="28"/>
      <c r="J126" s="29"/>
      <c r="K126" s="30"/>
      <c r="L126" s="31"/>
    </row>
    <row r="127" spans="1:12" ht="27.75" thickBot="1" x14ac:dyDescent="0.3">
      <c r="A127" s="42"/>
      <c r="B127" s="42" t="s">
        <v>156</v>
      </c>
      <c r="C127" s="43">
        <v>25034000</v>
      </c>
      <c r="D127" s="42" t="s">
        <v>50</v>
      </c>
      <c r="E127" s="43">
        <v>24945000</v>
      </c>
      <c r="F127" s="43">
        <f>C127-G127</f>
        <v>89000</v>
      </c>
      <c r="G127" s="43">
        <v>24945000</v>
      </c>
      <c r="H127" s="44">
        <v>100</v>
      </c>
      <c r="I127" s="28"/>
      <c r="J127" s="29"/>
      <c r="K127" s="30"/>
      <c r="L127" s="31"/>
    </row>
    <row r="128" spans="1:12" ht="27.75" thickBot="1" x14ac:dyDescent="0.3">
      <c r="A128" s="42"/>
      <c r="B128" s="42" t="s">
        <v>157</v>
      </c>
      <c r="C128" s="43">
        <v>25721000</v>
      </c>
      <c r="D128" s="42" t="s">
        <v>50</v>
      </c>
      <c r="E128" s="43">
        <v>25625000</v>
      </c>
      <c r="F128" s="43">
        <f>C128-G128</f>
        <v>96000</v>
      </c>
      <c r="G128" s="43">
        <v>25625000</v>
      </c>
      <c r="H128" s="44">
        <v>100</v>
      </c>
      <c r="I128" s="28"/>
      <c r="J128" s="29"/>
      <c r="K128" s="30"/>
      <c r="L128" s="31"/>
    </row>
    <row r="129" spans="1:12" ht="27.75" thickBot="1" x14ac:dyDescent="0.3">
      <c r="A129" s="42"/>
      <c r="B129" s="42" t="s">
        <v>158</v>
      </c>
      <c r="C129" s="43">
        <v>34857000</v>
      </c>
      <c r="D129" s="42" t="s">
        <v>50</v>
      </c>
      <c r="E129" s="43">
        <v>34750000</v>
      </c>
      <c r="F129" s="43">
        <f>C129-G129</f>
        <v>107000</v>
      </c>
      <c r="G129" s="43">
        <v>34750000</v>
      </c>
      <c r="H129" s="44">
        <v>100</v>
      </c>
      <c r="I129" s="28"/>
      <c r="J129" s="29"/>
      <c r="K129" s="30"/>
      <c r="L129" s="31"/>
    </row>
    <row r="130" spans="1:12" ht="27.75" thickBot="1" x14ac:dyDescent="0.3">
      <c r="A130" s="42"/>
      <c r="B130" s="42" t="s">
        <v>159</v>
      </c>
      <c r="C130" s="43">
        <v>32769000</v>
      </c>
      <c r="D130" s="42" t="s">
        <v>50</v>
      </c>
      <c r="E130" s="43">
        <v>32670000</v>
      </c>
      <c r="F130" s="43">
        <f>C130-G130</f>
        <v>99000</v>
      </c>
      <c r="G130" s="43">
        <v>32670000</v>
      </c>
      <c r="H130" s="44">
        <v>100</v>
      </c>
      <c r="I130" s="28"/>
      <c r="J130" s="29"/>
      <c r="K130" s="30"/>
      <c r="L130" s="31"/>
    </row>
    <row r="131" spans="1:12" ht="27.75" thickBot="1" x14ac:dyDescent="0.3">
      <c r="A131" s="42"/>
      <c r="B131" s="42" t="s">
        <v>160</v>
      </c>
      <c r="C131" s="43">
        <v>31073000</v>
      </c>
      <c r="D131" s="42" t="s">
        <v>50</v>
      </c>
      <c r="E131" s="43">
        <v>30975000</v>
      </c>
      <c r="F131" s="43">
        <f>C131-G131</f>
        <v>98000</v>
      </c>
      <c r="G131" s="43">
        <v>30975000</v>
      </c>
      <c r="H131" s="44">
        <v>100</v>
      </c>
      <c r="I131" s="28"/>
      <c r="J131" s="29"/>
      <c r="K131" s="30"/>
      <c r="L131" s="31"/>
    </row>
    <row r="132" spans="1:12" ht="27.75" thickBot="1" x14ac:dyDescent="0.3">
      <c r="A132" s="42"/>
      <c r="B132" s="42" t="s">
        <v>161</v>
      </c>
      <c r="C132" s="43">
        <v>31255000</v>
      </c>
      <c r="D132" s="42" t="s">
        <v>50</v>
      </c>
      <c r="E132" s="43">
        <v>31160000</v>
      </c>
      <c r="F132" s="43">
        <f>C132-G132</f>
        <v>95000</v>
      </c>
      <c r="G132" s="43">
        <v>31160000</v>
      </c>
      <c r="H132" s="44">
        <v>100</v>
      </c>
      <c r="I132" s="28"/>
      <c r="J132" s="29"/>
      <c r="K132" s="30"/>
      <c r="L132" s="31"/>
    </row>
    <row r="133" spans="1:12" ht="27.75" thickBot="1" x14ac:dyDescent="0.3">
      <c r="A133" s="42"/>
      <c r="B133" s="42" t="s">
        <v>162</v>
      </c>
      <c r="C133" s="43">
        <v>31401000</v>
      </c>
      <c r="D133" s="42" t="s">
        <v>50</v>
      </c>
      <c r="E133" s="43">
        <v>31300000</v>
      </c>
      <c r="F133" s="43">
        <f>C133-G133</f>
        <v>101000</v>
      </c>
      <c r="G133" s="43">
        <v>31300000</v>
      </c>
      <c r="H133" s="44">
        <v>100</v>
      </c>
      <c r="I133" s="28"/>
      <c r="J133" s="29"/>
      <c r="K133" s="30"/>
      <c r="L133" s="31"/>
    </row>
    <row r="134" spans="1:12" ht="27.75" thickBot="1" x14ac:dyDescent="0.3">
      <c r="A134" s="42"/>
      <c r="B134" s="42" t="s">
        <v>163</v>
      </c>
      <c r="C134" s="43">
        <v>9326000</v>
      </c>
      <c r="D134" s="42" t="s">
        <v>50</v>
      </c>
      <c r="E134" s="43">
        <v>9300000</v>
      </c>
      <c r="F134" s="43">
        <f>C134-G134</f>
        <v>26000</v>
      </c>
      <c r="G134" s="43">
        <v>9300000</v>
      </c>
      <c r="H134" s="44">
        <v>100</v>
      </c>
      <c r="I134" s="28"/>
      <c r="J134" s="29"/>
      <c r="K134" s="30"/>
      <c r="L134" s="31"/>
    </row>
    <row r="135" spans="1:12" ht="27.75" thickBot="1" x14ac:dyDescent="0.3">
      <c r="A135" s="42"/>
      <c r="B135" s="42" t="s">
        <v>164</v>
      </c>
      <c r="C135" s="43">
        <v>32659000</v>
      </c>
      <c r="D135" s="42" t="s">
        <v>50</v>
      </c>
      <c r="E135" s="43">
        <v>32560000</v>
      </c>
      <c r="F135" s="43">
        <f>C135-G135</f>
        <v>99000</v>
      </c>
      <c r="G135" s="43">
        <v>32560000</v>
      </c>
      <c r="H135" s="44">
        <v>100</v>
      </c>
      <c r="I135" s="28"/>
      <c r="J135" s="29"/>
      <c r="K135" s="30"/>
      <c r="L135" s="31"/>
    </row>
    <row r="136" spans="1:12" ht="27.75" thickBot="1" x14ac:dyDescent="0.3">
      <c r="A136" s="42"/>
      <c r="B136" s="42" t="s">
        <v>165</v>
      </c>
      <c r="C136" s="43">
        <v>26246000</v>
      </c>
      <c r="D136" s="42" t="s">
        <v>50</v>
      </c>
      <c r="E136" s="43">
        <v>26150000</v>
      </c>
      <c r="F136" s="43">
        <f>C136-G136</f>
        <v>96000</v>
      </c>
      <c r="G136" s="43">
        <v>26150000</v>
      </c>
      <c r="H136" s="44">
        <v>100</v>
      </c>
      <c r="I136" s="28"/>
      <c r="J136" s="29"/>
      <c r="K136" s="30"/>
      <c r="L136" s="31"/>
    </row>
    <row r="137" spans="1:12" ht="27.75" thickBot="1" x14ac:dyDescent="0.3">
      <c r="A137" s="42"/>
      <c r="B137" s="42" t="s">
        <v>166</v>
      </c>
      <c r="C137" s="43">
        <v>35067000</v>
      </c>
      <c r="D137" s="42" t="s">
        <v>50</v>
      </c>
      <c r="E137" s="43">
        <v>34950000</v>
      </c>
      <c r="F137" s="43">
        <f>C137-G137</f>
        <v>117000</v>
      </c>
      <c r="G137" s="43">
        <v>34950000</v>
      </c>
      <c r="H137" s="44">
        <v>100</v>
      </c>
      <c r="I137" s="28"/>
      <c r="J137" s="29"/>
      <c r="K137" s="30"/>
      <c r="L137" s="31"/>
    </row>
    <row r="138" spans="1:12" ht="17.25" thickBot="1" x14ac:dyDescent="0.3">
      <c r="A138" s="42"/>
      <c r="B138" s="42" t="s">
        <v>167</v>
      </c>
      <c r="C138" s="47">
        <v>0</v>
      </c>
      <c r="D138" s="42" t="s">
        <v>130</v>
      </c>
      <c r="E138" s="43">
        <v>0</v>
      </c>
      <c r="F138" s="43">
        <f>C138-G138</f>
        <v>0</v>
      </c>
      <c r="G138" s="43">
        <v>0</v>
      </c>
      <c r="H138" s="44">
        <v>0</v>
      </c>
      <c r="I138" s="28"/>
      <c r="J138" s="29"/>
      <c r="K138" s="30"/>
      <c r="L138" s="31"/>
    </row>
    <row r="139" spans="1:12" ht="27.75" thickBot="1" x14ac:dyDescent="0.3">
      <c r="A139" s="42"/>
      <c r="B139" s="42" t="s">
        <v>168</v>
      </c>
      <c r="C139" s="43">
        <v>20696000</v>
      </c>
      <c r="D139" s="42" t="s">
        <v>50</v>
      </c>
      <c r="E139" s="43">
        <v>20600000</v>
      </c>
      <c r="F139" s="43">
        <f>C139-G139</f>
        <v>96000</v>
      </c>
      <c r="G139" s="43">
        <v>20600000</v>
      </c>
      <c r="H139" s="44">
        <v>100</v>
      </c>
      <c r="I139" s="28"/>
      <c r="J139" s="29"/>
      <c r="K139" s="30"/>
      <c r="L139" s="31"/>
    </row>
    <row r="140" spans="1:12" ht="27.75" thickBot="1" x14ac:dyDescent="0.3">
      <c r="A140" s="42"/>
      <c r="B140" s="42" t="s">
        <v>169</v>
      </c>
      <c r="C140" s="43">
        <v>25246000</v>
      </c>
      <c r="D140" s="42" t="s">
        <v>50</v>
      </c>
      <c r="E140" s="43">
        <v>25150000</v>
      </c>
      <c r="F140" s="43">
        <f>C140-G140</f>
        <v>96000</v>
      </c>
      <c r="G140" s="43">
        <v>25150000</v>
      </c>
      <c r="H140" s="44">
        <v>100</v>
      </c>
      <c r="I140" s="28"/>
      <c r="J140" s="29"/>
      <c r="K140" s="30"/>
      <c r="L140" s="31"/>
    </row>
    <row r="141" spans="1:12" ht="27.75" thickBot="1" x14ac:dyDescent="0.3">
      <c r="A141" s="42"/>
      <c r="B141" s="42" t="s">
        <v>170</v>
      </c>
      <c r="C141" s="43">
        <v>26357000</v>
      </c>
      <c r="D141" s="42" t="s">
        <v>50</v>
      </c>
      <c r="E141" s="43">
        <v>26250000</v>
      </c>
      <c r="F141" s="43">
        <f>C141-G141</f>
        <v>107000</v>
      </c>
      <c r="G141" s="43">
        <v>26250000</v>
      </c>
      <c r="H141" s="44">
        <v>100</v>
      </c>
      <c r="I141" s="28"/>
      <c r="J141" s="29"/>
      <c r="K141" s="30"/>
      <c r="L141" s="31"/>
    </row>
    <row r="142" spans="1:12" ht="27.75" thickBot="1" x14ac:dyDescent="0.3">
      <c r="A142" s="42"/>
      <c r="B142" s="42" t="s">
        <v>171</v>
      </c>
      <c r="C142" s="43">
        <v>24782000</v>
      </c>
      <c r="D142" s="42" t="s">
        <v>50</v>
      </c>
      <c r="E142" s="43">
        <v>24690000</v>
      </c>
      <c r="F142" s="43">
        <f>C142-G142</f>
        <v>92000</v>
      </c>
      <c r="G142" s="43">
        <v>24690000</v>
      </c>
      <c r="H142" s="44">
        <v>100</v>
      </c>
      <c r="I142" s="28"/>
      <c r="J142" s="29"/>
      <c r="K142" s="30"/>
      <c r="L142" s="31"/>
    </row>
    <row r="143" spans="1:12" ht="27.75" thickBot="1" x14ac:dyDescent="0.3">
      <c r="A143" s="42"/>
      <c r="B143" s="42" t="s">
        <v>172</v>
      </c>
      <c r="C143" s="43">
        <v>23216000</v>
      </c>
      <c r="D143" s="42" t="s">
        <v>50</v>
      </c>
      <c r="E143" s="43">
        <v>23130000</v>
      </c>
      <c r="F143" s="43">
        <f>C143-G143</f>
        <v>86000</v>
      </c>
      <c r="G143" s="43">
        <v>23130000</v>
      </c>
      <c r="H143" s="44">
        <v>100</v>
      </c>
      <c r="I143" s="28"/>
      <c r="J143" s="29"/>
      <c r="K143" s="30"/>
      <c r="L143" s="31"/>
    </row>
    <row r="144" spans="1:12" ht="27.75" thickBot="1" x14ac:dyDescent="0.3">
      <c r="A144" s="42"/>
      <c r="B144" s="42" t="s">
        <v>173</v>
      </c>
      <c r="C144" s="43">
        <v>24218000</v>
      </c>
      <c r="D144" s="42" t="s">
        <v>50</v>
      </c>
      <c r="E144" s="43">
        <v>24130000</v>
      </c>
      <c r="F144" s="43">
        <f>C144-G144</f>
        <v>88000</v>
      </c>
      <c r="G144" s="43">
        <v>24130000</v>
      </c>
      <c r="H144" s="44">
        <v>100</v>
      </c>
      <c r="I144" s="28"/>
      <c r="J144" s="29"/>
      <c r="K144" s="30"/>
      <c r="L144" s="31"/>
    </row>
    <row r="145" spans="1:12" ht="27.75" thickBot="1" x14ac:dyDescent="0.3">
      <c r="A145" s="42"/>
      <c r="B145" s="42" t="s">
        <v>174</v>
      </c>
      <c r="C145" s="43">
        <v>24721000</v>
      </c>
      <c r="D145" s="42" t="s">
        <v>50</v>
      </c>
      <c r="E145" s="43">
        <v>24635000</v>
      </c>
      <c r="F145" s="43">
        <f>C145-G145</f>
        <v>86000</v>
      </c>
      <c r="G145" s="43">
        <v>24635000</v>
      </c>
      <c r="H145" s="44">
        <v>100</v>
      </c>
      <c r="I145" s="28"/>
      <c r="J145" s="29"/>
      <c r="K145" s="30"/>
      <c r="L145" s="31"/>
    </row>
    <row r="146" spans="1:12" ht="27.75" thickBot="1" x14ac:dyDescent="0.3">
      <c r="A146" s="42"/>
      <c r="B146" s="42" t="s">
        <v>175</v>
      </c>
      <c r="C146" s="43">
        <v>37499000</v>
      </c>
      <c r="D146" s="42" t="s">
        <v>50</v>
      </c>
      <c r="E146" s="43">
        <v>37385000</v>
      </c>
      <c r="F146" s="43">
        <f>C146-G146</f>
        <v>114000</v>
      </c>
      <c r="G146" s="43">
        <v>37385000</v>
      </c>
      <c r="H146" s="44">
        <v>100</v>
      </c>
      <c r="I146" s="28"/>
      <c r="J146" s="29"/>
      <c r="K146" s="30"/>
      <c r="L146" s="31"/>
    </row>
    <row r="147" spans="1:12" ht="27.75" thickBot="1" x14ac:dyDescent="0.3">
      <c r="A147" s="42"/>
      <c r="B147" s="42" t="s">
        <v>176</v>
      </c>
      <c r="C147" s="43">
        <v>24214000</v>
      </c>
      <c r="D147" s="42" t="s">
        <v>50</v>
      </c>
      <c r="E147" s="43">
        <v>24125000</v>
      </c>
      <c r="F147" s="43">
        <f>C147-G147</f>
        <v>89000</v>
      </c>
      <c r="G147" s="43">
        <v>24125000</v>
      </c>
      <c r="H147" s="44">
        <v>100</v>
      </c>
      <c r="I147" s="28"/>
      <c r="J147" s="29"/>
      <c r="K147" s="30"/>
      <c r="L147" s="31"/>
    </row>
    <row r="148" spans="1:12" ht="17.25" thickBot="1" x14ac:dyDescent="0.3">
      <c r="A148" s="37" t="s">
        <v>177</v>
      </c>
      <c r="B148" s="37" t="s">
        <v>178</v>
      </c>
      <c r="C148" s="38">
        <f>SUM(C149:C160)</f>
        <v>149779500</v>
      </c>
      <c r="D148" s="39"/>
      <c r="E148" s="40"/>
      <c r="F148" s="38">
        <f>C148-G148</f>
        <v>5032000</v>
      </c>
      <c r="G148" s="38">
        <f>SUM(G149:G160)</f>
        <v>144747500</v>
      </c>
      <c r="H148" s="45">
        <f>AVERAGE(H150:H160)</f>
        <v>97.957771320522667</v>
      </c>
      <c r="I148" s="28"/>
      <c r="J148" s="29"/>
      <c r="K148" s="30"/>
      <c r="L148" s="31"/>
    </row>
    <row r="149" spans="1:12" ht="17.25" thickBot="1" x14ac:dyDescent="0.3">
      <c r="A149" s="42"/>
      <c r="B149" s="42" t="s">
        <v>179</v>
      </c>
      <c r="C149" s="47">
        <v>0</v>
      </c>
      <c r="D149" s="42" t="s">
        <v>19</v>
      </c>
      <c r="E149" s="43">
        <v>0</v>
      </c>
      <c r="F149" s="47">
        <f>C149-G149</f>
        <v>0</v>
      </c>
      <c r="G149" s="43">
        <v>0</v>
      </c>
      <c r="H149" s="44">
        <v>0</v>
      </c>
      <c r="I149" s="28"/>
      <c r="J149" s="29"/>
      <c r="K149" s="30"/>
      <c r="L149" s="31"/>
    </row>
    <row r="150" spans="1:12" ht="27.75" thickBot="1" x14ac:dyDescent="0.3">
      <c r="A150" s="42"/>
      <c r="B150" s="42" t="s">
        <v>180</v>
      </c>
      <c r="C150" s="43">
        <v>2340000</v>
      </c>
      <c r="D150" s="42" t="s">
        <v>19</v>
      </c>
      <c r="E150" s="43">
        <v>0</v>
      </c>
      <c r="F150" s="43">
        <f>C150-G150</f>
        <v>1590000</v>
      </c>
      <c r="G150" s="43">
        <v>750000</v>
      </c>
      <c r="H150" s="44">
        <v>100</v>
      </c>
      <c r="I150" s="28"/>
      <c r="J150" s="29"/>
      <c r="K150" s="30"/>
      <c r="L150" s="31"/>
    </row>
    <row r="151" spans="1:12" ht="17.25" thickBot="1" x14ac:dyDescent="0.3">
      <c r="A151" s="42"/>
      <c r="B151" s="42" t="s">
        <v>181</v>
      </c>
      <c r="C151" s="43">
        <v>24897700</v>
      </c>
      <c r="D151" s="42" t="s">
        <v>19</v>
      </c>
      <c r="E151" s="43">
        <v>0</v>
      </c>
      <c r="F151" s="43">
        <f>C151-G151</f>
        <v>0</v>
      </c>
      <c r="G151" s="43">
        <v>24897700</v>
      </c>
      <c r="H151" s="44">
        <f>G151/C151*100</f>
        <v>100</v>
      </c>
      <c r="I151" s="28"/>
      <c r="J151" s="29"/>
      <c r="K151" s="30"/>
      <c r="L151" s="31"/>
    </row>
    <row r="152" spans="1:12" ht="17.25" thickBot="1" x14ac:dyDescent="0.3">
      <c r="A152" s="42"/>
      <c r="B152" s="42" t="s">
        <v>182</v>
      </c>
      <c r="C152" s="43">
        <v>1151000</v>
      </c>
      <c r="D152" s="42" t="s">
        <v>19</v>
      </c>
      <c r="E152" s="43">
        <v>0</v>
      </c>
      <c r="F152" s="43">
        <f>C152-G152</f>
        <v>4000</v>
      </c>
      <c r="G152" s="43">
        <v>1147000</v>
      </c>
      <c r="H152" s="44">
        <f>G152/C152*100</f>
        <v>99.652476107732397</v>
      </c>
      <c r="I152" s="28"/>
      <c r="J152" s="29"/>
      <c r="K152" s="30"/>
      <c r="L152" s="31"/>
    </row>
    <row r="153" spans="1:12" ht="17.25" thickBot="1" x14ac:dyDescent="0.3">
      <c r="A153" s="42"/>
      <c r="B153" s="42" t="s">
        <v>183</v>
      </c>
      <c r="C153" s="43">
        <v>8167800</v>
      </c>
      <c r="D153" s="42" t="s">
        <v>19</v>
      </c>
      <c r="E153" s="43">
        <v>0</v>
      </c>
      <c r="F153" s="43">
        <f>C153-G153</f>
        <v>34000</v>
      </c>
      <c r="G153" s="43">
        <v>8133800</v>
      </c>
      <c r="H153" s="44">
        <f>G153/C153*100</f>
        <v>99.583731237297684</v>
      </c>
      <c r="I153" s="28"/>
      <c r="J153" s="29"/>
      <c r="K153" s="30"/>
      <c r="L153" s="31"/>
    </row>
    <row r="154" spans="1:12" ht="17.25" thickBot="1" x14ac:dyDescent="0.3">
      <c r="A154" s="42"/>
      <c r="B154" s="42" t="s">
        <v>184</v>
      </c>
      <c r="C154" s="43">
        <v>517000</v>
      </c>
      <c r="D154" s="42" t="s">
        <v>19</v>
      </c>
      <c r="E154" s="43">
        <v>0</v>
      </c>
      <c r="F154" s="43">
        <f>C154-G154</f>
        <v>0</v>
      </c>
      <c r="G154" s="43">
        <v>517000</v>
      </c>
      <c r="H154" s="44">
        <f>G154/C154*100</f>
        <v>100</v>
      </c>
      <c r="I154" s="28"/>
      <c r="J154" s="29"/>
      <c r="K154" s="30"/>
      <c r="L154" s="31"/>
    </row>
    <row r="155" spans="1:12" ht="17.25" thickBot="1" x14ac:dyDescent="0.3">
      <c r="A155" s="42"/>
      <c r="B155" s="42" t="s">
        <v>185</v>
      </c>
      <c r="C155" s="43">
        <v>16686000</v>
      </c>
      <c r="D155" s="42" t="s">
        <v>19</v>
      </c>
      <c r="E155" s="43">
        <v>0</v>
      </c>
      <c r="F155" s="43">
        <f>C155-G155</f>
        <v>488500</v>
      </c>
      <c r="G155" s="43">
        <v>16197500</v>
      </c>
      <c r="H155" s="44">
        <f>G155/C155*100</f>
        <v>97.072396020616083</v>
      </c>
      <c r="I155" s="28"/>
      <c r="J155" s="29"/>
      <c r="K155" s="30"/>
      <c r="L155" s="31"/>
    </row>
    <row r="156" spans="1:12" ht="17.25" thickBot="1" x14ac:dyDescent="0.3">
      <c r="A156" s="42"/>
      <c r="B156" s="42" t="s">
        <v>186</v>
      </c>
      <c r="C156" s="43">
        <v>16300000</v>
      </c>
      <c r="D156" s="42" t="s">
        <v>19</v>
      </c>
      <c r="E156" s="43">
        <v>0</v>
      </c>
      <c r="F156" s="43">
        <f>C156-G156</f>
        <v>100000</v>
      </c>
      <c r="G156" s="43">
        <v>16200000</v>
      </c>
      <c r="H156" s="44">
        <f>G156/C156*100</f>
        <v>99.386503067484668</v>
      </c>
      <c r="I156" s="28"/>
      <c r="J156" s="29"/>
      <c r="K156" s="30"/>
      <c r="L156" s="31"/>
    </row>
    <row r="157" spans="1:12" ht="17.25" thickBot="1" x14ac:dyDescent="0.3">
      <c r="A157" s="42"/>
      <c r="B157" s="42" t="s">
        <v>187</v>
      </c>
      <c r="C157" s="43">
        <v>6150000</v>
      </c>
      <c r="D157" s="42" t="s">
        <v>19</v>
      </c>
      <c r="E157" s="43">
        <v>0</v>
      </c>
      <c r="F157" s="43">
        <f>C157-G157</f>
        <v>0</v>
      </c>
      <c r="G157" s="43">
        <v>6150000</v>
      </c>
      <c r="H157" s="44">
        <f>G157/C157*100</f>
        <v>100</v>
      </c>
      <c r="I157" s="28"/>
      <c r="J157" s="29"/>
      <c r="K157" s="30"/>
      <c r="L157" s="31"/>
    </row>
    <row r="158" spans="1:12" ht="17.25" thickBot="1" x14ac:dyDescent="0.3">
      <c r="A158" s="42"/>
      <c r="B158" s="42" t="s">
        <v>188</v>
      </c>
      <c r="C158" s="43">
        <v>15205000</v>
      </c>
      <c r="D158" s="42" t="s">
        <v>19</v>
      </c>
      <c r="E158" s="43">
        <v>0</v>
      </c>
      <c r="F158" s="43">
        <f>C158-G158</f>
        <v>2739500</v>
      </c>
      <c r="G158" s="43">
        <v>12465500</v>
      </c>
      <c r="H158" s="44">
        <f>G158/C158*100</f>
        <v>81.982900361723125</v>
      </c>
      <c r="I158" s="28"/>
      <c r="J158" s="29"/>
      <c r="K158" s="30"/>
      <c r="L158" s="31"/>
    </row>
    <row r="159" spans="1:12" ht="17.25" thickBot="1" x14ac:dyDescent="0.3">
      <c r="A159" s="42"/>
      <c r="B159" s="42" t="s">
        <v>189</v>
      </c>
      <c r="C159" s="43">
        <v>53325000</v>
      </c>
      <c r="D159" s="42" t="s">
        <v>19</v>
      </c>
      <c r="E159" s="43">
        <v>0</v>
      </c>
      <c r="F159" s="43">
        <f>C159-G159</f>
        <v>76000</v>
      </c>
      <c r="G159" s="43">
        <v>53249000</v>
      </c>
      <c r="H159" s="44">
        <f>G159/C159*100</f>
        <v>99.857477730895454</v>
      </c>
      <c r="I159" s="28"/>
      <c r="J159" s="29"/>
      <c r="K159" s="30"/>
      <c r="L159" s="31"/>
    </row>
    <row r="160" spans="1:12" ht="17.25" thickBot="1" x14ac:dyDescent="0.3">
      <c r="A160" s="42"/>
      <c r="B160" s="42" t="s">
        <v>190</v>
      </c>
      <c r="C160" s="43">
        <v>5040000</v>
      </c>
      <c r="D160" s="42" t="s">
        <v>19</v>
      </c>
      <c r="E160" s="43">
        <v>0</v>
      </c>
      <c r="F160" s="43">
        <f>C160-G160</f>
        <v>0</v>
      </c>
      <c r="G160" s="43">
        <v>5040000</v>
      </c>
      <c r="H160" s="44">
        <f>G160/C160*100</f>
        <v>100</v>
      </c>
      <c r="I160" s="28"/>
      <c r="J160" s="29"/>
      <c r="K160" s="30"/>
      <c r="L160" s="31"/>
    </row>
    <row r="161" spans="1:12" ht="27.75" thickBot="1" x14ac:dyDescent="0.3">
      <c r="A161" s="37" t="s">
        <v>191</v>
      </c>
      <c r="B161" s="37" t="s">
        <v>192</v>
      </c>
      <c r="C161" s="38">
        <f>SUM(C162:C166)</f>
        <v>206520500</v>
      </c>
      <c r="D161" s="39"/>
      <c r="E161" s="40"/>
      <c r="F161" s="38">
        <f>C161-G161</f>
        <v>6634000</v>
      </c>
      <c r="G161" s="38">
        <f>SUM(G162:G166)</f>
        <v>199886500</v>
      </c>
      <c r="H161" s="45">
        <f>AVERAGE(H162:H165)</f>
        <v>100</v>
      </c>
      <c r="I161" s="28"/>
      <c r="J161" s="29"/>
      <c r="K161" s="30"/>
      <c r="L161" s="31"/>
    </row>
    <row r="162" spans="1:12" ht="17.25" thickBot="1" x14ac:dyDescent="0.3">
      <c r="A162" s="42"/>
      <c r="B162" s="42" t="s">
        <v>193</v>
      </c>
      <c r="C162" s="43">
        <v>44000000</v>
      </c>
      <c r="D162" s="42" t="s">
        <v>194</v>
      </c>
      <c r="E162" s="43">
        <v>42801000</v>
      </c>
      <c r="F162" s="43">
        <f>C162-G162</f>
        <v>1199000</v>
      </c>
      <c r="G162" s="43">
        <v>42801000</v>
      </c>
      <c r="H162" s="44">
        <v>100</v>
      </c>
      <c r="I162" s="28"/>
      <c r="J162" s="29"/>
      <c r="K162" s="30"/>
      <c r="L162" s="31"/>
    </row>
    <row r="163" spans="1:12" ht="17.25" thickBot="1" x14ac:dyDescent="0.3">
      <c r="A163" s="42"/>
      <c r="B163" s="42" t="s">
        <v>195</v>
      </c>
      <c r="C163" s="43">
        <v>48000000</v>
      </c>
      <c r="D163" s="42" t="s">
        <v>194</v>
      </c>
      <c r="E163" s="43">
        <v>46614000</v>
      </c>
      <c r="F163" s="43">
        <f>C163-G163</f>
        <v>1386000</v>
      </c>
      <c r="G163" s="43">
        <v>46614000</v>
      </c>
      <c r="H163" s="44">
        <v>100</v>
      </c>
      <c r="I163" s="28"/>
      <c r="J163" s="29"/>
      <c r="K163" s="30"/>
      <c r="L163" s="31"/>
    </row>
    <row r="164" spans="1:12" ht="17.25" thickBot="1" x14ac:dyDescent="0.3">
      <c r="A164" s="42"/>
      <c r="B164" s="42" t="s">
        <v>196</v>
      </c>
      <c r="C164" s="43">
        <v>41000000</v>
      </c>
      <c r="D164" s="42" t="s">
        <v>194</v>
      </c>
      <c r="E164" s="43">
        <v>39954000</v>
      </c>
      <c r="F164" s="43">
        <f>C164-G164</f>
        <v>1046000</v>
      </c>
      <c r="G164" s="43">
        <v>39954000</v>
      </c>
      <c r="H164" s="44">
        <v>100</v>
      </c>
      <c r="I164" s="28"/>
      <c r="J164" s="29"/>
      <c r="K164" s="30"/>
      <c r="L164" s="31"/>
    </row>
    <row r="165" spans="1:12" ht="17.25" thickBot="1" x14ac:dyDescent="0.3">
      <c r="A165" s="42"/>
      <c r="B165" s="42" t="s">
        <v>197</v>
      </c>
      <c r="C165" s="43">
        <v>41000000</v>
      </c>
      <c r="D165" s="42" t="s">
        <v>19</v>
      </c>
      <c r="E165" s="43">
        <v>39260000</v>
      </c>
      <c r="F165" s="43">
        <f>C165-G165</f>
        <v>1740000</v>
      </c>
      <c r="G165" s="43">
        <v>39260000</v>
      </c>
      <c r="H165" s="44">
        <v>100</v>
      </c>
      <c r="I165" s="28"/>
      <c r="J165" s="29"/>
      <c r="K165" s="30"/>
      <c r="L165" s="31"/>
    </row>
    <row r="166" spans="1:12" ht="17.25" thickBot="1" x14ac:dyDescent="0.3">
      <c r="A166" s="42"/>
      <c r="B166" s="42" t="s">
        <v>198</v>
      </c>
      <c r="C166" s="43">
        <v>32520500</v>
      </c>
      <c r="D166" s="42" t="s">
        <v>19</v>
      </c>
      <c r="E166" s="43">
        <v>0</v>
      </c>
      <c r="F166" s="43">
        <f>C166-G166</f>
        <v>1263000</v>
      </c>
      <c r="G166" s="43">
        <f>30545000+712500</f>
        <v>31257500</v>
      </c>
      <c r="H166" s="44">
        <f>G166/C166*100</f>
        <v>96.116295874909667</v>
      </c>
      <c r="I166" s="28"/>
      <c r="J166" s="29">
        <f>G166-30557500</f>
        <v>700000</v>
      </c>
      <c r="K166" s="30">
        <f>20914800+J166</f>
        <v>21614800</v>
      </c>
      <c r="L166" s="31"/>
    </row>
    <row r="167" spans="1:12" ht="17.25" thickBot="1" x14ac:dyDescent="0.3">
      <c r="A167" s="23" t="s">
        <v>199</v>
      </c>
      <c r="B167" s="24" t="s">
        <v>200</v>
      </c>
      <c r="C167" s="25">
        <f>SUM(C168)</f>
        <v>3917476000</v>
      </c>
      <c r="D167" s="23"/>
      <c r="E167" s="26"/>
      <c r="F167" s="25">
        <f>C167-G167</f>
        <v>520475685</v>
      </c>
      <c r="G167" s="25">
        <f>SUM(G168)</f>
        <v>3397000315</v>
      </c>
      <c r="H167" s="27">
        <f>H168</f>
        <v>96.347836591581924</v>
      </c>
      <c r="I167" s="28"/>
      <c r="J167" s="29"/>
      <c r="K167" s="30"/>
      <c r="L167" s="31"/>
    </row>
    <row r="168" spans="1:12" ht="27.75" thickBot="1" x14ac:dyDescent="0.3">
      <c r="A168" s="32" t="s">
        <v>201</v>
      </c>
      <c r="B168" s="32" t="s">
        <v>202</v>
      </c>
      <c r="C168" s="33">
        <f>SUM(C169,C175,C190)</f>
        <v>3917476000</v>
      </c>
      <c r="D168" s="34"/>
      <c r="E168" s="35"/>
      <c r="F168" s="33">
        <f>C168-G168</f>
        <v>520475685</v>
      </c>
      <c r="G168" s="33">
        <f>SUM(G169,G175,G190)</f>
        <v>3397000315</v>
      </c>
      <c r="H168" s="36">
        <f>AVERAGE(H169,H175,H190)</f>
        <v>96.347836591581924</v>
      </c>
      <c r="I168" s="28"/>
      <c r="J168" s="29"/>
      <c r="K168" s="30"/>
      <c r="L168" s="31"/>
    </row>
    <row r="169" spans="1:12" ht="27.75" thickBot="1" x14ac:dyDescent="0.3">
      <c r="A169" s="37" t="s">
        <v>203</v>
      </c>
      <c r="B169" s="37" t="s">
        <v>204</v>
      </c>
      <c r="C169" s="38">
        <f>SUM(C170:C174)</f>
        <v>400000000</v>
      </c>
      <c r="D169" s="39"/>
      <c r="E169" s="40"/>
      <c r="F169" s="38">
        <f>C169-G169</f>
        <v>28283135</v>
      </c>
      <c r="G169" s="38">
        <f>SUM(G170:G174)</f>
        <v>371716865</v>
      </c>
      <c r="H169" s="45">
        <f>AVERAGE(H170:H174)</f>
        <v>96.679778132992325</v>
      </c>
      <c r="I169" s="28"/>
      <c r="J169" s="29"/>
      <c r="K169" s="30"/>
      <c r="L169" s="31"/>
    </row>
    <row r="170" spans="1:12" ht="17.25" thickBot="1" x14ac:dyDescent="0.3">
      <c r="A170" s="42"/>
      <c r="B170" s="42" t="s">
        <v>205</v>
      </c>
      <c r="C170" s="43">
        <v>100000000</v>
      </c>
      <c r="D170" s="42" t="s">
        <v>194</v>
      </c>
      <c r="E170" s="43">
        <v>98790000</v>
      </c>
      <c r="F170" s="43">
        <f>C170-G170</f>
        <v>1210000</v>
      </c>
      <c r="G170" s="43">
        <v>98790000</v>
      </c>
      <c r="H170" s="44">
        <v>100</v>
      </c>
      <c r="I170" s="28"/>
      <c r="J170" s="29"/>
      <c r="K170" s="30"/>
      <c r="L170" s="31"/>
    </row>
    <row r="171" spans="1:12" ht="17.25" thickBot="1" x14ac:dyDescent="0.3">
      <c r="A171" s="42"/>
      <c r="B171" s="42" t="s">
        <v>206</v>
      </c>
      <c r="C171" s="43">
        <v>15000000</v>
      </c>
      <c r="D171" s="42" t="s">
        <v>194</v>
      </c>
      <c r="E171" s="43">
        <v>14707000</v>
      </c>
      <c r="F171" s="43">
        <f>C171-G171</f>
        <v>293000</v>
      </c>
      <c r="G171" s="43">
        <v>14707000</v>
      </c>
      <c r="H171" s="44">
        <v>100</v>
      </c>
      <c r="I171" s="28"/>
      <c r="J171" s="29"/>
      <c r="K171" s="30"/>
      <c r="L171" s="31"/>
    </row>
    <row r="172" spans="1:12" ht="17.25" thickBot="1" x14ac:dyDescent="0.3">
      <c r="A172" s="42"/>
      <c r="B172" s="42" t="s">
        <v>207</v>
      </c>
      <c r="C172" s="43">
        <v>100000000</v>
      </c>
      <c r="D172" s="42" t="s">
        <v>194</v>
      </c>
      <c r="E172" s="43">
        <v>99184000</v>
      </c>
      <c r="F172" s="43">
        <f>C172-G172</f>
        <v>816000</v>
      </c>
      <c r="G172" s="43">
        <v>99184000</v>
      </c>
      <c r="H172" s="44">
        <v>100</v>
      </c>
      <c r="I172" s="28"/>
      <c r="J172" s="29"/>
      <c r="K172" s="30"/>
      <c r="L172" s="31"/>
    </row>
    <row r="173" spans="1:12" ht="17.25" thickBot="1" x14ac:dyDescent="0.3">
      <c r="A173" s="42"/>
      <c r="B173" s="42" t="s">
        <v>208</v>
      </c>
      <c r="C173" s="43">
        <v>28600000</v>
      </c>
      <c r="D173" s="42" t="s">
        <v>72</v>
      </c>
      <c r="E173" s="43">
        <v>28600000</v>
      </c>
      <c r="F173" s="43">
        <f>C173-G173</f>
        <v>0</v>
      </c>
      <c r="G173" s="43">
        <v>28600000</v>
      </c>
      <c r="H173" s="44">
        <v>100</v>
      </c>
      <c r="I173" s="28"/>
      <c r="J173" s="29"/>
      <c r="K173" s="30"/>
      <c r="L173" s="31"/>
    </row>
    <row r="174" spans="1:12" ht="17.25" thickBot="1" x14ac:dyDescent="0.3">
      <c r="A174" s="42"/>
      <c r="B174" s="42" t="s">
        <v>198</v>
      </c>
      <c r="C174" s="43">
        <v>156400000</v>
      </c>
      <c r="D174" s="42" t="s">
        <v>19</v>
      </c>
      <c r="E174" s="43">
        <v>0</v>
      </c>
      <c r="F174" s="43">
        <f>C174-G174</f>
        <v>25964135</v>
      </c>
      <c r="G174" s="43">
        <f>104010865-2200000+28625000</f>
        <v>130435865</v>
      </c>
      <c r="H174" s="44">
        <f>G174/C174*100</f>
        <v>83.398890664961627</v>
      </c>
      <c r="I174" s="28"/>
      <c r="J174" s="29"/>
      <c r="K174" s="30"/>
      <c r="L174" s="31"/>
    </row>
    <row r="175" spans="1:12" ht="17.25" thickBot="1" x14ac:dyDescent="0.3">
      <c r="A175" s="37" t="s">
        <v>209</v>
      </c>
      <c r="B175" s="37" t="s">
        <v>210</v>
      </c>
      <c r="C175" s="38">
        <f>SUM(C176:C189)</f>
        <v>765000000</v>
      </c>
      <c r="D175" s="39"/>
      <c r="E175" s="40"/>
      <c r="F175" s="38">
        <f>C175-G175</f>
        <v>69159900</v>
      </c>
      <c r="G175" s="38">
        <f>SUM(G176:G189)</f>
        <v>695840100</v>
      </c>
      <c r="H175" s="45">
        <f>AVERAGE(H176:H189)</f>
        <v>94.304931972789106</v>
      </c>
      <c r="I175" s="28"/>
      <c r="J175" s="29"/>
      <c r="K175" s="30"/>
      <c r="L175" s="31"/>
    </row>
    <row r="176" spans="1:12" ht="27.75" thickBot="1" x14ac:dyDescent="0.3">
      <c r="A176" s="42"/>
      <c r="B176" s="42" t="s">
        <v>211</v>
      </c>
      <c r="C176" s="43">
        <v>10000000</v>
      </c>
      <c r="D176" s="42" t="s">
        <v>194</v>
      </c>
      <c r="E176" s="43">
        <v>9800000</v>
      </c>
      <c r="F176" s="43">
        <f>C176-G176</f>
        <v>200000</v>
      </c>
      <c r="G176" s="43">
        <v>9800000</v>
      </c>
      <c r="H176" s="44">
        <v>100</v>
      </c>
      <c r="I176" s="28"/>
      <c r="J176" s="29"/>
      <c r="K176" s="30"/>
      <c r="L176" s="31"/>
    </row>
    <row r="177" spans="1:12" ht="27.75" thickBot="1" x14ac:dyDescent="0.3">
      <c r="A177" s="42"/>
      <c r="B177" s="42" t="s">
        <v>212</v>
      </c>
      <c r="C177" s="43">
        <v>15000000</v>
      </c>
      <c r="D177" s="42" t="s">
        <v>194</v>
      </c>
      <c r="E177" s="43">
        <v>14707000</v>
      </c>
      <c r="F177" s="43">
        <f>C177-G177</f>
        <v>293000</v>
      </c>
      <c r="G177" s="43">
        <v>14707000</v>
      </c>
      <c r="H177" s="44">
        <v>100</v>
      </c>
      <c r="I177" s="28"/>
      <c r="J177" s="29"/>
      <c r="K177" s="30"/>
      <c r="L177" s="31"/>
    </row>
    <row r="178" spans="1:12" ht="17.25" thickBot="1" x14ac:dyDescent="0.3">
      <c r="A178" s="42"/>
      <c r="B178" s="42" t="s">
        <v>213</v>
      </c>
      <c r="C178" s="43">
        <v>175000000</v>
      </c>
      <c r="D178" s="42" t="s">
        <v>89</v>
      </c>
      <c r="E178" s="43">
        <v>168853000</v>
      </c>
      <c r="F178" s="43">
        <f>C178-G178</f>
        <v>6147000</v>
      </c>
      <c r="G178" s="43">
        <v>168853000</v>
      </c>
      <c r="H178" s="44">
        <v>100</v>
      </c>
      <c r="I178" s="28"/>
      <c r="J178" s="29"/>
      <c r="K178" s="30"/>
      <c r="L178" s="31"/>
    </row>
    <row r="179" spans="1:12" ht="27.75" thickBot="1" x14ac:dyDescent="0.3">
      <c r="A179" s="42"/>
      <c r="B179" s="42" t="s">
        <v>214</v>
      </c>
      <c r="C179" s="43">
        <v>10000000</v>
      </c>
      <c r="D179" s="42" t="s">
        <v>194</v>
      </c>
      <c r="E179" s="43">
        <v>9800000</v>
      </c>
      <c r="F179" s="43">
        <f>C179-G179</f>
        <v>200000</v>
      </c>
      <c r="G179" s="43">
        <v>9800000</v>
      </c>
      <c r="H179" s="44">
        <v>100</v>
      </c>
      <c r="I179" s="28"/>
      <c r="J179" s="29"/>
      <c r="K179" s="30"/>
      <c r="L179" s="31"/>
    </row>
    <row r="180" spans="1:12" ht="27.75" thickBot="1" x14ac:dyDescent="0.3">
      <c r="A180" s="42"/>
      <c r="B180" s="42" t="s">
        <v>215</v>
      </c>
      <c r="C180" s="43">
        <v>10000000</v>
      </c>
      <c r="D180" s="42" t="s">
        <v>194</v>
      </c>
      <c r="E180" s="43">
        <v>9800000</v>
      </c>
      <c r="F180" s="43">
        <f>C180-G180</f>
        <v>200000</v>
      </c>
      <c r="G180" s="43">
        <v>9800000</v>
      </c>
      <c r="H180" s="44">
        <v>100</v>
      </c>
      <c r="I180" s="28"/>
      <c r="J180" s="29"/>
      <c r="K180" s="30"/>
      <c r="L180" s="31"/>
    </row>
    <row r="181" spans="1:12" ht="17.25" thickBot="1" x14ac:dyDescent="0.3">
      <c r="A181" s="42"/>
      <c r="B181" s="42" t="s">
        <v>216</v>
      </c>
      <c r="C181" s="43">
        <v>130000000</v>
      </c>
      <c r="D181" s="42" t="s">
        <v>89</v>
      </c>
      <c r="E181" s="43">
        <v>128994000</v>
      </c>
      <c r="F181" s="43">
        <f>C181-G181</f>
        <v>1006000</v>
      </c>
      <c r="G181" s="43">
        <v>128994000</v>
      </c>
      <c r="H181" s="44">
        <v>100</v>
      </c>
      <c r="I181" s="28"/>
      <c r="J181" s="29"/>
      <c r="K181" s="30"/>
      <c r="L181" s="31"/>
    </row>
    <row r="182" spans="1:12" ht="17.25" thickBot="1" x14ac:dyDescent="0.3">
      <c r="A182" s="42"/>
      <c r="B182" s="42" t="s">
        <v>217</v>
      </c>
      <c r="C182" s="43">
        <v>10000000</v>
      </c>
      <c r="D182" s="42" t="s">
        <v>194</v>
      </c>
      <c r="E182" s="43">
        <v>9800000</v>
      </c>
      <c r="F182" s="43">
        <f>C182-G182</f>
        <v>200000</v>
      </c>
      <c r="G182" s="43">
        <v>9800000</v>
      </c>
      <c r="H182" s="44">
        <v>100</v>
      </c>
      <c r="I182" s="28"/>
      <c r="J182" s="29"/>
      <c r="K182" s="30"/>
      <c r="L182" s="31"/>
    </row>
    <row r="183" spans="1:12" ht="17.25" thickBot="1" x14ac:dyDescent="0.3">
      <c r="A183" s="42"/>
      <c r="B183" s="42" t="s">
        <v>218</v>
      </c>
      <c r="C183" s="43">
        <v>200000000</v>
      </c>
      <c r="D183" s="42" t="s">
        <v>89</v>
      </c>
      <c r="E183" s="43">
        <v>198016000</v>
      </c>
      <c r="F183" s="43">
        <f>C183-G183</f>
        <v>1939000</v>
      </c>
      <c r="G183" s="43">
        <v>198061000</v>
      </c>
      <c r="H183" s="44">
        <v>100</v>
      </c>
      <c r="I183" s="28"/>
      <c r="J183" s="29"/>
      <c r="K183" s="30"/>
      <c r="L183" s="31"/>
    </row>
    <row r="184" spans="1:12" ht="27.75" thickBot="1" x14ac:dyDescent="0.3">
      <c r="A184" s="42"/>
      <c r="B184" s="42" t="s">
        <v>219</v>
      </c>
      <c r="C184" s="43">
        <v>15000000</v>
      </c>
      <c r="D184" s="42" t="s">
        <v>194</v>
      </c>
      <c r="E184" s="43">
        <v>14707500</v>
      </c>
      <c r="F184" s="43">
        <f>C184-G184</f>
        <v>292500</v>
      </c>
      <c r="G184" s="43">
        <v>14707500</v>
      </c>
      <c r="H184" s="44">
        <v>100</v>
      </c>
      <c r="I184" s="28"/>
      <c r="J184" s="29"/>
      <c r="K184" s="30"/>
      <c r="L184" s="31"/>
    </row>
    <row r="185" spans="1:12" ht="27.75" thickBot="1" x14ac:dyDescent="0.3">
      <c r="A185" s="42"/>
      <c r="B185" s="42" t="s">
        <v>220</v>
      </c>
      <c r="C185" s="43">
        <v>40000000</v>
      </c>
      <c r="D185" s="42" t="s">
        <v>194</v>
      </c>
      <c r="E185" s="43">
        <v>39294500</v>
      </c>
      <c r="F185" s="43">
        <f>C185-G185</f>
        <v>705500</v>
      </c>
      <c r="G185" s="43">
        <v>39294500</v>
      </c>
      <c r="H185" s="44">
        <v>100</v>
      </c>
      <c r="I185" s="28"/>
      <c r="J185" s="29"/>
      <c r="K185" s="30"/>
      <c r="L185" s="31"/>
    </row>
    <row r="186" spans="1:12" ht="27.75" thickBot="1" x14ac:dyDescent="0.3">
      <c r="A186" s="42"/>
      <c r="B186" s="42" t="s">
        <v>221</v>
      </c>
      <c r="C186" s="43">
        <v>15000000</v>
      </c>
      <c r="D186" s="42" t="s">
        <v>194</v>
      </c>
      <c r="E186" s="43">
        <v>14707500</v>
      </c>
      <c r="F186" s="43">
        <f>C186-G186</f>
        <v>292500</v>
      </c>
      <c r="G186" s="43">
        <v>14707500</v>
      </c>
      <c r="H186" s="44">
        <v>100</v>
      </c>
      <c r="I186" s="28"/>
      <c r="J186" s="29"/>
      <c r="K186" s="30"/>
      <c r="L186" s="31"/>
    </row>
    <row r="187" spans="1:12" ht="27.75" thickBot="1" x14ac:dyDescent="0.3">
      <c r="A187" s="42"/>
      <c r="B187" s="42" t="s">
        <v>222</v>
      </c>
      <c r="C187" s="43">
        <v>35000000</v>
      </c>
      <c r="D187" s="42" t="s">
        <v>194</v>
      </c>
      <c r="E187" s="43">
        <v>34243500</v>
      </c>
      <c r="F187" s="43">
        <f>C187-G187</f>
        <v>756500</v>
      </c>
      <c r="G187" s="43">
        <v>34243500</v>
      </c>
      <c r="H187" s="44">
        <v>100</v>
      </c>
      <c r="I187" s="28"/>
      <c r="J187" s="29"/>
      <c r="K187" s="30"/>
      <c r="L187" s="31"/>
    </row>
    <row r="188" spans="1:12" s="48" customFormat="1" ht="17.25" thickBot="1" x14ac:dyDescent="0.3">
      <c r="A188" s="42"/>
      <c r="B188" s="42" t="s">
        <v>223</v>
      </c>
      <c r="C188" s="43">
        <v>28600000</v>
      </c>
      <c r="D188" s="42" t="s">
        <v>72</v>
      </c>
      <c r="E188" s="43">
        <v>28600000</v>
      </c>
      <c r="F188" s="43">
        <f>C188-G188</f>
        <v>0</v>
      </c>
      <c r="G188" s="43">
        <v>28600000</v>
      </c>
      <c r="H188" s="44">
        <v>100</v>
      </c>
      <c r="I188" s="28"/>
      <c r="J188" s="29"/>
      <c r="K188" s="30"/>
      <c r="L188" s="31"/>
    </row>
    <row r="189" spans="1:12" ht="17.25" thickBot="1" x14ac:dyDescent="0.3">
      <c r="A189" s="42"/>
      <c r="B189" s="42" t="s">
        <v>224</v>
      </c>
      <c r="C189" s="43">
        <v>71400000</v>
      </c>
      <c r="D189" s="42" t="s">
        <v>19</v>
      </c>
      <c r="E189" s="43">
        <v>0</v>
      </c>
      <c r="F189" s="43">
        <f>C189-G189</f>
        <v>56927900</v>
      </c>
      <c r="G189" s="43">
        <f>14595800-123700</f>
        <v>14472100</v>
      </c>
      <c r="H189" s="44">
        <f>G189/C189*100</f>
        <v>20.269047619047619</v>
      </c>
      <c r="I189" s="28"/>
      <c r="J189" s="29"/>
      <c r="K189" s="30"/>
      <c r="L189" s="31"/>
    </row>
    <row r="190" spans="1:12" ht="17.25" thickBot="1" x14ac:dyDescent="0.3">
      <c r="A190" s="37" t="s">
        <v>225</v>
      </c>
      <c r="B190" s="37" t="s">
        <v>226</v>
      </c>
      <c r="C190" s="38">
        <v>2752476000</v>
      </c>
      <c r="D190" s="39"/>
      <c r="E190" s="40"/>
      <c r="F190" s="38">
        <f>C190-G190</f>
        <v>423032650</v>
      </c>
      <c r="G190" s="38">
        <f>SUM(G191:G197)</f>
        <v>2329443350</v>
      </c>
      <c r="H190" s="45">
        <f>AVERAGE(H191:H197)</f>
        <v>98.058799668964312</v>
      </c>
      <c r="I190" s="28"/>
      <c r="J190" s="29"/>
      <c r="K190" s="30"/>
      <c r="L190" s="31"/>
    </row>
    <row r="191" spans="1:12" ht="17.25" thickBot="1" x14ac:dyDescent="0.3">
      <c r="A191" s="42"/>
      <c r="B191" s="42" t="s">
        <v>227</v>
      </c>
      <c r="C191" s="43">
        <v>200000000</v>
      </c>
      <c r="D191" s="42" t="s">
        <v>89</v>
      </c>
      <c r="E191" s="43">
        <v>198387000</v>
      </c>
      <c r="F191" s="43">
        <f>C191-G191</f>
        <v>1613000</v>
      </c>
      <c r="G191" s="43">
        <v>198387000</v>
      </c>
      <c r="H191" s="44">
        <v>100</v>
      </c>
      <c r="I191" s="28"/>
      <c r="J191" s="29"/>
      <c r="K191" s="30"/>
      <c r="L191" s="31"/>
    </row>
    <row r="192" spans="1:12" ht="17.25" thickBot="1" x14ac:dyDescent="0.3">
      <c r="A192" s="42"/>
      <c r="B192" s="42" t="s">
        <v>228</v>
      </c>
      <c r="C192" s="43">
        <v>500000000</v>
      </c>
      <c r="D192" s="42" t="s">
        <v>89</v>
      </c>
      <c r="E192" s="43">
        <v>434453000</v>
      </c>
      <c r="F192" s="43">
        <f>C192-G192</f>
        <v>65547000</v>
      </c>
      <c r="G192" s="43">
        <v>434453000</v>
      </c>
      <c r="H192" s="44">
        <v>100</v>
      </c>
      <c r="I192" s="28"/>
      <c r="J192" s="29"/>
      <c r="K192" s="30"/>
      <c r="L192" s="31"/>
    </row>
    <row r="193" spans="1:12" ht="17.25" thickBot="1" x14ac:dyDescent="0.3">
      <c r="A193" s="42"/>
      <c r="B193" s="42" t="s">
        <v>229</v>
      </c>
      <c r="C193" s="43">
        <v>200000000</v>
      </c>
      <c r="D193" s="42" t="s">
        <v>89</v>
      </c>
      <c r="E193" s="43">
        <v>198406000</v>
      </c>
      <c r="F193" s="43">
        <f>C193-G193</f>
        <v>1594000</v>
      </c>
      <c r="G193" s="43">
        <v>198406000</v>
      </c>
      <c r="H193" s="44">
        <v>100</v>
      </c>
      <c r="I193" s="28"/>
      <c r="J193" s="29"/>
      <c r="K193" s="30"/>
      <c r="L193" s="31"/>
    </row>
    <row r="194" spans="1:12" ht="17.25" thickBot="1" x14ac:dyDescent="0.3">
      <c r="A194" s="42"/>
      <c r="B194" s="42" t="s">
        <v>230</v>
      </c>
      <c r="C194" s="43">
        <v>1280000000</v>
      </c>
      <c r="D194" s="42" t="s">
        <v>89</v>
      </c>
      <c r="E194" s="43">
        <v>1023838000</v>
      </c>
      <c r="F194" s="43">
        <f>C194-G194</f>
        <v>256162000</v>
      </c>
      <c r="G194" s="43">
        <v>1023838000</v>
      </c>
      <c r="H194" s="44">
        <v>100</v>
      </c>
      <c r="I194" s="28"/>
      <c r="J194" s="29"/>
      <c r="K194" s="30"/>
      <c r="L194" s="31"/>
    </row>
    <row r="195" spans="1:12" ht="17.25" thickBot="1" x14ac:dyDescent="0.3">
      <c r="A195" s="42"/>
      <c r="B195" s="42" t="s">
        <v>231</v>
      </c>
      <c r="C195" s="43">
        <v>450000000</v>
      </c>
      <c r="D195" s="42" t="s">
        <v>89</v>
      </c>
      <c r="E195" s="43">
        <v>360000000</v>
      </c>
      <c r="F195" s="43">
        <f>C195-G195</f>
        <v>90000000</v>
      </c>
      <c r="G195" s="43">
        <v>360000000</v>
      </c>
      <c r="H195" s="44">
        <v>100</v>
      </c>
      <c r="I195" s="28"/>
      <c r="J195" s="29"/>
      <c r="K195" s="30"/>
      <c r="L195" s="31"/>
    </row>
    <row r="196" spans="1:12" ht="27.75" thickBot="1" x14ac:dyDescent="0.3">
      <c r="A196" s="42"/>
      <c r="B196" s="42" t="s">
        <v>232</v>
      </c>
      <c r="C196" s="43">
        <v>70000000</v>
      </c>
      <c r="D196" s="42" t="s">
        <v>194</v>
      </c>
      <c r="E196" s="43">
        <v>69014000</v>
      </c>
      <c r="F196" s="43">
        <f>C196-G196</f>
        <v>986000</v>
      </c>
      <c r="G196" s="43">
        <v>69014000</v>
      </c>
      <c r="H196" s="44">
        <v>100</v>
      </c>
      <c r="I196" s="28"/>
      <c r="J196" s="29"/>
      <c r="K196" s="30"/>
      <c r="L196" s="31"/>
    </row>
    <row r="197" spans="1:12" ht="17.25" thickBot="1" x14ac:dyDescent="0.3">
      <c r="A197" s="42"/>
      <c r="B197" s="42" t="s">
        <v>233</v>
      </c>
      <c r="C197" s="43">
        <v>52476000</v>
      </c>
      <c r="D197" s="42" t="s">
        <v>19</v>
      </c>
      <c r="E197" s="43">
        <v>0</v>
      </c>
      <c r="F197" s="43">
        <f>C197-G197</f>
        <v>7130650</v>
      </c>
      <c r="G197" s="43">
        <f>21113500+24231850</f>
        <v>45345350</v>
      </c>
      <c r="H197" s="44">
        <f>G197/C197*100</f>
        <v>86.411597682750212</v>
      </c>
      <c r="I197" s="28"/>
      <c r="J197" s="29"/>
      <c r="K197" s="30"/>
      <c r="L197" s="31"/>
    </row>
    <row r="198" spans="1:12" ht="27.75" thickBot="1" x14ac:dyDescent="0.3">
      <c r="A198" s="23" t="s">
        <v>234</v>
      </c>
      <c r="B198" s="24" t="s">
        <v>235</v>
      </c>
      <c r="C198" s="25">
        <f>SUM(C199)</f>
        <v>684294500</v>
      </c>
      <c r="D198" s="23"/>
      <c r="E198" s="26"/>
      <c r="F198" s="25">
        <f>C198-G198</f>
        <v>108517092</v>
      </c>
      <c r="G198" s="25">
        <f>SUM(G199)</f>
        <v>575777408</v>
      </c>
      <c r="H198" s="27">
        <f>G198/C198*100</f>
        <v>84.141755925263169</v>
      </c>
      <c r="I198" s="28"/>
      <c r="J198" s="29"/>
      <c r="K198" s="30"/>
      <c r="L198" s="31"/>
    </row>
    <row r="199" spans="1:12" ht="17.25" thickBot="1" x14ac:dyDescent="0.3">
      <c r="A199" s="32" t="s">
        <v>236</v>
      </c>
      <c r="B199" s="32" t="s">
        <v>237</v>
      </c>
      <c r="C199" s="33">
        <f>SUM(C200,C202,C207,C209,C211)</f>
        <v>684294500</v>
      </c>
      <c r="D199" s="34"/>
      <c r="E199" s="35"/>
      <c r="F199" s="33">
        <f>C199-G199</f>
        <v>108517092</v>
      </c>
      <c r="G199" s="33">
        <f>SUM(G200,G202,G207,G209,G211)</f>
        <v>575777408</v>
      </c>
      <c r="H199" s="36">
        <f>G199/C199*100</f>
        <v>84.141755925263169</v>
      </c>
      <c r="I199" s="28"/>
      <c r="J199" s="29"/>
      <c r="K199" s="30"/>
      <c r="L199" s="31"/>
    </row>
    <row r="200" spans="1:12" ht="17.25" thickBot="1" x14ac:dyDescent="0.3">
      <c r="A200" s="37" t="s">
        <v>238</v>
      </c>
      <c r="B200" s="37" t="s">
        <v>239</v>
      </c>
      <c r="C200" s="38">
        <v>10000000</v>
      </c>
      <c r="D200" s="39"/>
      <c r="E200" s="40"/>
      <c r="F200" s="38">
        <f>C200-G200</f>
        <v>4285000</v>
      </c>
      <c r="G200" s="38">
        <f>SUM(G201)</f>
        <v>5715000</v>
      </c>
      <c r="H200" s="45">
        <f>AVERAGE(H201)</f>
        <v>57.15</v>
      </c>
      <c r="I200" s="28"/>
      <c r="J200" s="29"/>
      <c r="K200" s="30"/>
      <c r="L200" s="31"/>
    </row>
    <row r="201" spans="1:12" ht="17.25" thickBot="1" x14ac:dyDescent="0.3">
      <c r="A201" s="42"/>
      <c r="B201" s="42" t="s">
        <v>18</v>
      </c>
      <c r="C201" s="43">
        <v>10000000</v>
      </c>
      <c r="D201" s="42" t="s">
        <v>19</v>
      </c>
      <c r="E201" s="43">
        <v>0</v>
      </c>
      <c r="F201" s="43">
        <f>C201-G201</f>
        <v>4285000</v>
      </c>
      <c r="G201" s="43">
        <v>5715000</v>
      </c>
      <c r="H201" s="44">
        <f>G201/C201*100</f>
        <v>57.15</v>
      </c>
      <c r="I201" s="28"/>
      <c r="J201" s="29"/>
      <c r="K201" s="30"/>
      <c r="L201" s="31"/>
    </row>
    <row r="202" spans="1:12" ht="17.25" thickBot="1" x14ac:dyDescent="0.3">
      <c r="A202" s="37" t="s">
        <v>240</v>
      </c>
      <c r="B202" s="37" t="s">
        <v>241</v>
      </c>
      <c r="C202" s="38">
        <f>SUM(C203:C206)</f>
        <v>414294500</v>
      </c>
      <c r="D202" s="39"/>
      <c r="E202" s="40"/>
      <c r="F202" s="38">
        <f>C202-G202</f>
        <v>2353500</v>
      </c>
      <c r="G202" s="38">
        <f>SUM(G203:G206)</f>
        <v>411941000</v>
      </c>
      <c r="H202" s="45">
        <f>AVERAGE(H204:H206)</f>
        <v>100</v>
      </c>
      <c r="I202" s="28"/>
      <c r="J202" s="29"/>
      <c r="K202" s="30"/>
      <c r="L202" s="31"/>
    </row>
    <row r="203" spans="1:12" ht="17.25" thickBot="1" x14ac:dyDescent="0.3">
      <c r="A203" s="42"/>
      <c r="B203" s="42" t="s">
        <v>18</v>
      </c>
      <c r="C203" s="43">
        <v>5000000</v>
      </c>
      <c r="D203" s="42" t="s">
        <v>19</v>
      </c>
      <c r="E203" s="43">
        <v>0</v>
      </c>
      <c r="F203" s="43">
        <f>C203-G203</f>
        <v>2353500</v>
      </c>
      <c r="G203" s="43">
        <v>2646500</v>
      </c>
      <c r="H203" s="44">
        <f>G203/C203*100</f>
        <v>52.93</v>
      </c>
      <c r="I203" s="28"/>
      <c r="J203" s="29"/>
      <c r="K203" s="30"/>
      <c r="L203" s="31"/>
    </row>
    <row r="204" spans="1:12" ht="27.75" thickBot="1" x14ac:dyDescent="0.3">
      <c r="A204" s="42"/>
      <c r="B204" s="42" t="s">
        <v>242</v>
      </c>
      <c r="C204" s="43">
        <v>9903400</v>
      </c>
      <c r="D204" s="42" t="s">
        <v>194</v>
      </c>
      <c r="E204" s="43">
        <v>9903400</v>
      </c>
      <c r="F204" s="43">
        <f>C204-G204</f>
        <v>0</v>
      </c>
      <c r="G204" s="43">
        <v>9903400</v>
      </c>
      <c r="H204" s="44">
        <f>G204/C204*100</f>
        <v>100</v>
      </c>
      <c r="I204" s="28"/>
      <c r="J204" s="29"/>
      <c r="K204" s="30"/>
      <c r="L204" s="31"/>
    </row>
    <row r="205" spans="1:12" ht="27.75" thickBot="1" x14ac:dyDescent="0.3">
      <c r="A205" s="42"/>
      <c r="B205" s="42" t="s">
        <v>243</v>
      </c>
      <c r="C205" s="43">
        <v>78810000</v>
      </c>
      <c r="D205" s="42" t="s">
        <v>194</v>
      </c>
      <c r="E205" s="43">
        <v>78810000</v>
      </c>
      <c r="F205" s="43">
        <f>C205-G205</f>
        <v>0</v>
      </c>
      <c r="G205" s="43">
        <v>78810000</v>
      </c>
      <c r="H205" s="44">
        <f>G205/C205*100</f>
        <v>100</v>
      </c>
      <c r="I205" s="28"/>
      <c r="J205" s="29"/>
      <c r="K205" s="30"/>
      <c r="L205" s="31"/>
    </row>
    <row r="206" spans="1:12" ht="17.25" thickBot="1" x14ac:dyDescent="0.3">
      <c r="A206" s="42"/>
      <c r="B206" s="42" t="s">
        <v>244</v>
      </c>
      <c r="C206" s="43">
        <v>320581100</v>
      </c>
      <c r="D206" s="42" t="s">
        <v>89</v>
      </c>
      <c r="E206" s="43">
        <v>320581100</v>
      </c>
      <c r="F206" s="43">
        <f>C206-G206</f>
        <v>0</v>
      </c>
      <c r="G206" s="43">
        <v>320581100</v>
      </c>
      <c r="H206" s="44">
        <f>G206/C206*100</f>
        <v>100</v>
      </c>
      <c r="I206" s="28"/>
      <c r="J206" s="29"/>
      <c r="K206" s="30"/>
      <c r="L206" s="31"/>
    </row>
    <row r="207" spans="1:12" ht="17.25" thickBot="1" x14ac:dyDescent="0.3">
      <c r="A207" s="37" t="s">
        <v>245</v>
      </c>
      <c r="B207" s="37" t="s">
        <v>246</v>
      </c>
      <c r="C207" s="38">
        <v>150000000</v>
      </c>
      <c r="D207" s="39"/>
      <c r="E207" s="40"/>
      <c r="F207" s="38">
        <f>C207-G207</f>
        <v>51749077</v>
      </c>
      <c r="G207" s="38">
        <f>SUM(G208)</f>
        <v>98250923</v>
      </c>
      <c r="H207" s="45">
        <f>G207/C207*100</f>
        <v>65.500615333333329</v>
      </c>
      <c r="I207" s="28"/>
      <c r="J207" s="29"/>
      <c r="K207" s="30"/>
      <c r="L207" s="31"/>
    </row>
    <row r="208" spans="1:12" ht="17.25" thickBot="1" x14ac:dyDescent="0.3">
      <c r="A208" s="42"/>
      <c r="B208" s="42" t="s">
        <v>18</v>
      </c>
      <c r="C208" s="43">
        <v>150000000</v>
      </c>
      <c r="D208" s="42" t="s">
        <v>19</v>
      </c>
      <c r="E208" s="43">
        <v>0</v>
      </c>
      <c r="F208" s="43">
        <f>C208-G208</f>
        <v>51749077</v>
      </c>
      <c r="G208" s="43">
        <v>98250923</v>
      </c>
      <c r="H208" s="44">
        <f>G208/C208*100</f>
        <v>65.500615333333329</v>
      </c>
      <c r="I208" s="28"/>
      <c r="J208" s="29"/>
      <c r="K208" s="30"/>
      <c r="L208" s="31"/>
    </row>
    <row r="209" spans="1:12" ht="27.75" thickBot="1" x14ac:dyDescent="0.3">
      <c r="A209" s="37" t="s">
        <v>247</v>
      </c>
      <c r="B209" s="37" t="s">
        <v>248</v>
      </c>
      <c r="C209" s="38">
        <v>100000000</v>
      </c>
      <c r="D209" s="39"/>
      <c r="E209" s="40"/>
      <c r="F209" s="38">
        <f>C209-G209</f>
        <v>43421515</v>
      </c>
      <c r="G209" s="38">
        <f>SUM(G210)</f>
        <v>56578485</v>
      </c>
      <c r="H209" s="45">
        <f>G209/C209*100</f>
        <v>56.578485000000001</v>
      </c>
      <c r="I209" s="28"/>
      <c r="J209" s="29"/>
      <c r="K209" s="30"/>
      <c r="L209" s="31"/>
    </row>
    <row r="210" spans="1:12" ht="17.25" thickBot="1" x14ac:dyDescent="0.3">
      <c r="A210" s="42"/>
      <c r="B210" s="42" t="s">
        <v>18</v>
      </c>
      <c r="C210" s="43">
        <v>100000000</v>
      </c>
      <c r="D210" s="42" t="s">
        <v>19</v>
      </c>
      <c r="E210" s="43">
        <v>0</v>
      </c>
      <c r="F210" s="43">
        <f>C210-G210</f>
        <v>43421515</v>
      </c>
      <c r="G210" s="43">
        <v>56578485</v>
      </c>
      <c r="H210" s="44">
        <f>G210/C210*100</f>
        <v>56.578485000000001</v>
      </c>
      <c r="I210" s="28"/>
      <c r="J210" s="29"/>
      <c r="K210" s="30"/>
      <c r="L210" s="31"/>
    </row>
    <row r="211" spans="1:12" ht="17.25" thickBot="1" x14ac:dyDescent="0.3">
      <c r="A211" s="37" t="s">
        <v>249</v>
      </c>
      <c r="B211" s="37" t="s">
        <v>250</v>
      </c>
      <c r="C211" s="38">
        <v>10000000</v>
      </c>
      <c r="D211" s="39"/>
      <c r="E211" s="40"/>
      <c r="F211" s="38">
        <f>C211-G211</f>
        <v>6708000</v>
      </c>
      <c r="G211" s="38">
        <f>SUM(G212)</f>
        <v>3292000</v>
      </c>
      <c r="H211" s="45">
        <f>G211/C211*100</f>
        <v>32.92</v>
      </c>
      <c r="I211" s="28"/>
      <c r="J211" s="29"/>
      <c r="K211" s="30"/>
      <c r="L211" s="31"/>
    </row>
    <row r="212" spans="1:12" ht="17.25" thickBot="1" x14ac:dyDescent="0.3">
      <c r="A212" s="42"/>
      <c r="B212" s="42" t="s">
        <v>18</v>
      </c>
      <c r="C212" s="43">
        <v>10000000</v>
      </c>
      <c r="D212" s="42" t="s">
        <v>19</v>
      </c>
      <c r="E212" s="43">
        <v>0</v>
      </c>
      <c r="F212" s="43">
        <f>C212-G212</f>
        <v>6708000</v>
      </c>
      <c r="G212" s="43">
        <v>3292000</v>
      </c>
      <c r="H212" s="44">
        <f>G212/C212*100</f>
        <v>32.92</v>
      </c>
      <c r="I212" s="28"/>
      <c r="J212" s="29"/>
      <c r="K212" s="30"/>
      <c r="L212" s="31"/>
    </row>
    <row r="213" spans="1:12" ht="17.25" thickBot="1" x14ac:dyDescent="0.3">
      <c r="A213" s="23" t="s">
        <v>251</v>
      </c>
      <c r="B213" s="24" t="s">
        <v>252</v>
      </c>
      <c r="C213" s="25">
        <f>SUM(C214)</f>
        <v>5175283117</v>
      </c>
      <c r="D213" s="23"/>
      <c r="E213" s="26"/>
      <c r="F213" s="25">
        <f>C213-G213</f>
        <v>101903979</v>
      </c>
      <c r="G213" s="25">
        <f>SUM(G214)</f>
        <v>5073379138</v>
      </c>
      <c r="H213" s="27">
        <f>H214</f>
        <v>98.030948709544774</v>
      </c>
      <c r="I213" s="28"/>
      <c r="J213" s="29"/>
      <c r="K213" s="30"/>
      <c r="L213" s="31"/>
    </row>
    <row r="214" spans="1:12" ht="27.75" thickBot="1" x14ac:dyDescent="0.3">
      <c r="A214" s="32" t="s">
        <v>253</v>
      </c>
      <c r="B214" s="32" t="s">
        <v>254</v>
      </c>
      <c r="C214" s="33">
        <f>SUM(C215,C219,C222,C224,C237,C239)</f>
        <v>5175283117</v>
      </c>
      <c r="D214" s="34"/>
      <c r="E214" s="35"/>
      <c r="F214" s="33">
        <f>C214-G214</f>
        <v>101903979</v>
      </c>
      <c r="G214" s="33">
        <f>SUM(G215,G219,G222,G224,G237,G239)</f>
        <v>5073379138</v>
      </c>
      <c r="H214" s="36">
        <f>G214/C214*100</f>
        <v>98.030948709544774</v>
      </c>
      <c r="I214" s="28"/>
      <c r="J214" s="29"/>
      <c r="K214" s="30"/>
      <c r="L214" s="31"/>
    </row>
    <row r="215" spans="1:12" ht="17.25" thickBot="1" x14ac:dyDescent="0.3">
      <c r="A215" s="37" t="s">
        <v>255</v>
      </c>
      <c r="B215" s="37" t="s">
        <v>256</v>
      </c>
      <c r="C215" s="38">
        <v>225000000</v>
      </c>
      <c r="D215" s="39"/>
      <c r="E215" s="40"/>
      <c r="F215" s="38">
        <f>C215-G215</f>
        <v>2500000</v>
      </c>
      <c r="G215" s="38">
        <f>SUM(G216:G218)</f>
        <v>222500000</v>
      </c>
      <c r="H215" s="45">
        <f>AVERAGE(H216:H218)</f>
        <v>100</v>
      </c>
      <c r="I215" s="28"/>
      <c r="J215" s="29"/>
      <c r="K215" s="30"/>
      <c r="L215" s="31"/>
    </row>
    <row r="216" spans="1:12" ht="17.25" thickBot="1" x14ac:dyDescent="0.3">
      <c r="A216" s="42"/>
      <c r="B216" s="42" t="s">
        <v>257</v>
      </c>
      <c r="C216" s="43">
        <v>10000000</v>
      </c>
      <c r="D216" s="42" t="s">
        <v>194</v>
      </c>
      <c r="E216" s="43">
        <v>9800000</v>
      </c>
      <c r="F216" s="43">
        <f>C216-G216</f>
        <v>200000</v>
      </c>
      <c r="G216" s="43">
        <v>9800000</v>
      </c>
      <c r="H216" s="44">
        <v>100</v>
      </c>
      <c r="I216" s="28"/>
      <c r="J216" s="29"/>
      <c r="K216" s="30"/>
      <c r="L216" s="31"/>
    </row>
    <row r="217" spans="1:12" ht="17.25" thickBot="1" x14ac:dyDescent="0.3">
      <c r="A217" s="42"/>
      <c r="B217" s="42" t="s">
        <v>258</v>
      </c>
      <c r="C217" s="43">
        <v>15000000</v>
      </c>
      <c r="D217" s="42" t="s">
        <v>194</v>
      </c>
      <c r="E217" s="43">
        <v>14670000</v>
      </c>
      <c r="F217" s="43">
        <f>C217-G217</f>
        <v>300000</v>
      </c>
      <c r="G217" s="43">
        <v>14700000</v>
      </c>
      <c r="H217" s="44">
        <v>100</v>
      </c>
      <c r="I217" s="28"/>
      <c r="J217" s="29"/>
      <c r="K217" s="30"/>
      <c r="L217" s="31"/>
    </row>
    <row r="218" spans="1:12" ht="17.25" thickBot="1" x14ac:dyDescent="0.3">
      <c r="A218" s="42"/>
      <c r="B218" s="42" t="s">
        <v>259</v>
      </c>
      <c r="C218" s="43">
        <v>200000000</v>
      </c>
      <c r="D218" s="42" t="s">
        <v>194</v>
      </c>
      <c r="E218" s="43">
        <v>198000000</v>
      </c>
      <c r="F218" s="43">
        <f>C218-G218</f>
        <v>2000000</v>
      </c>
      <c r="G218" s="43">
        <v>198000000</v>
      </c>
      <c r="H218" s="44">
        <v>100</v>
      </c>
      <c r="I218" s="28"/>
      <c r="J218" s="29"/>
      <c r="K218" s="30"/>
      <c r="L218" s="31"/>
    </row>
    <row r="219" spans="1:12" ht="27.75" thickBot="1" x14ac:dyDescent="0.3">
      <c r="A219" s="37" t="s">
        <v>260</v>
      </c>
      <c r="B219" s="37" t="s">
        <v>261</v>
      </c>
      <c r="C219" s="38">
        <v>100000000</v>
      </c>
      <c r="D219" s="39"/>
      <c r="E219" s="40"/>
      <c r="F219" s="38">
        <f>C219-G219</f>
        <v>1469839</v>
      </c>
      <c r="G219" s="38">
        <f>SUM(G220:G221)</f>
        <v>98530161</v>
      </c>
      <c r="H219" s="45">
        <f>AVERAGE(H220:H221)</f>
        <v>99.162701249999998</v>
      </c>
      <c r="I219" s="28"/>
      <c r="J219" s="29"/>
      <c r="K219" s="30"/>
      <c r="L219" s="31"/>
    </row>
    <row r="220" spans="1:12" ht="17.25" thickBot="1" x14ac:dyDescent="0.3">
      <c r="A220" s="42"/>
      <c r="B220" s="42" t="s">
        <v>262</v>
      </c>
      <c r="C220" s="43">
        <v>60000000</v>
      </c>
      <c r="D220" s="42" t="s">
        <v>194</v>
      </c>
      <c r="E220" s="43">
        <v>59200000</v>
      </c>
      <c r="F220" s="43">
        <f>C220-G220</f>
        <v>800000</v>
      </c>
      <c r="G220" s="43">
        <v>59200000</v>
      </c>
      <c r="H220" s="44">
        <v>100</v>
      </c>
      <c r="I220" s="28"/>
      <c r="J220" s="29"/>
      <c r="K220" s="30"/>
      <c r="L220" s="31"/>
    </row>
    <row r="221" spans="1:12" ht="17.25" thickBot="1" x14ac:dyDescent="0.3">
      <c r="A221" s="42"/>
      <c r="B221" s="42" t="s">
        <v>73</v>
      </c>
      <c r="C221" s="43">
        <v>40000000</v>
      </c>
      <c r="D221" s="42" t="s">
        <v>19</v>
      </c>
      <c r="E221" s="43">
        <v>0</v>
      </c>
      <c r="F221" s="43">
        <f>C221-G221</f>
        <v>669839</v>
      </c>
      <c r="G221" s="43">
        <v>39330161</v>
      </c>
      <c r="H221" s="44">
        <f>G221/C221*100</f>
        <v>98.32540250000001</v>
      </c>
      <c r="I221" s="28"/>
      <c r="J221" s="29"/>
      <c r="K221" s="30"/>
      <c r="L221" s="31"/>
    </row>
    <row r="222" spans="1:12" ht="17.25" thickBot="1" x14ac:dyDescent="0.3">
      <c r="A222" s="37" t="s">
        <v>263</v>
      </c>
      <c r="B222" s="37" t="s">
        <v>264</v>
      </c>
      <c r="C222" s="38">
        <v>50000000</v>
      </c>
      <c r="D222" s="39"/>
      <c r="E222" s="40"/>
      <c r="F222" s="38">
        <f>C222-G222</f>
        <v>50000000</v>
      </c>
      <c r="G222" s="38">
        <f>SUM(G223)</f>
        <v>0</v>
      </c>
      <c r="H222" s="45">
        <f>G222/C222*100</f>
        <v>0</v>
      </c>
      <c r="I222" s="28"/>
      <c r="J222" s="29"/>
      <c r="K222" s="30"/>
      <c r="L222" s="31"/>
    </row>
    <row r="223" spans="1:12" ht="17.25" thickBot="1" x14ac:dyDescent="0.3">
      <c r="A223" s="42"/>
      <c r="B223" s="42" t="s">
        <v>18</v>
      </c>
      <c r="C223" s="43">
        <v>50000000</v>
      </c>
      <c r="D223" s="42" t="s">
        <v>19</v>
      </c>
      <c r="E223" s="43">
        <v>0</v>
      </c>
      <c r="F223" s="43">
        <f>C223-G223</f>
        <v>50000000</v>
      </c>
      <c r="G223" s="43">
        <v>0</v>
      </c>
      <c r="H223" s="44">
        <f>G223/C223*100</f>
        <v>0</v>
      </c>
      <c r="I223" s="28"/>
      <c r="J223" s="29"/>
      <c r="K223" s="30"/>
      <c r="L223" s="31"/>
    </row>
    <row r="224" spans="1:12" ht="17.25" thickBot="1" x14ac:dyDescent="0.3">
      <c r="A224" s="37" t="s">
        <v>265</v>
      </c>
      <c r="B224" s="37" t="s">
        <v>266</v>
      </c>
      <c r="C224" s="38">
        <f>SUM(C225:C236)</f>
        <v>4625283117</v>
      </c>
      <c r="D224" s="39"/>
      <c r="E224" s="40"/>
      <c r="F224" s="38">
        <f>C224-G224</f>
        <v>3001000</v>
      </c>
      <c r="G224" s="38">
        <f>SUM(G225:G236)</f>
        <v>4622282117</v>
      </c>
      <c r="H224" s="45">
        <f>G224/C224*100</f>
        <v>99.935117485263333</v>
      </c>
      <c r="I224" s="28"/>
      <c r="J224" s="29"/>
      <c r="K224" s="30"/>
      <c r="L224" s="31"/>
    </row>
    <row r="225" spans="1:12" ht="17.25" thickBot="1" x14ac:dyDescent="0.3">
      <c r="A225" s="42"/>
      <c r="B225" s="42" t="s">
        <v>267</v>
      </c>
      <c r="C225" s="43">
        <v>224000000</v>
      </c>
      <c r="D225" s="42" t="s">
        <v>19</v>
      </c>
      <c r="E225" s="43">
        <v>224000000</v>
      </c>
      <c r="F225" s="43">
        <f>C225-G225</f>
        <v>0</v>
      </c>
      <c r="G225" s="43">
        <v>224000000</v>
      </c>
      <c r="H225" s="44">
        <f>G225/C225*100</f>
        <v>100</v>
      </c>
      <c r="I225" s="28"/>
      <c r="J225" s="29"/>
      <c r="K225" s="30"/>
      <c r="L225" s="31"/>
    </row>
    <row r="226" spans="1:12" ht="27.75" thickBot="1" x14ac:dyDescent="0.3">
      <c r="A226" s="42"/>
      <c r="B226" s="42" t="s">
        <v>268</v>
      </c>
      <c r="C226" s="43">
        <v>231000000</v>
      </c>
      <c r="D226" s="42" t="s">
        <v>19</v>
      </c>
      <c r="E226" s="43">
        <v>231000000</v>
      </c>
      <c r="F226" s="43">
        <f>C226-G226</f>
        <v>0</v>
      </c>
      <c r="G226" s="43">
        <v>231000000</v>
      </c>
      <c r="H226" s="44">
        <f>G226/C226*100</f>
        <v>100</v>
      </c>
      <c r="I226" s="28"/>
      <c r="J226" s="29"/>
      <c r="K226" s="30"/>
      <c r="L226" s="31"/>
    </row>
    <row r="227" spans="1:12" ht="17.25" thickBot="1" x14ac:dyDescent="0.3">
      <c r="A227" s="42"/>
      <c r="B227" s="42" t="s">
        <v>269</v>
      </c>
      <c r="C227" s="43">
        <v>224000000</v>
      </c>
      <c r="D227" s="42" t="s">
        <v>19</v>
      </c>
      <c r="E227" s="43">
        <v>224000000</v>
      </c>
      <c r="F227" s="43">
        <f>C227-G227</f>
        <v>0</v>
      </c>
      <c r="G227" s="43">
        <v>224000000</v>
      </c>
      <c r="H227" s="44">
        <f>G227/C227*100</f>
        <v>100</v>
      </c>
      <c r="I227" s="28"/>
      <c r="J227" s="29"/>
      <c r="K227" s="30"/>
      <c r="L227" s="31"/>
    </row>
    <row r="228" spans="1:12" ht="17.25" thickBot="1" x14ac:dyDescent="0.3">
      <c r="A228" s="42"/>
      <c r="B228" s="42" t="s">
        <v>270</v>
      </c>
      <c r="C228" s="43">
        <v>224000000</v>
      </c>
      <c r="D228" s="42" t="s">
        <v>19</v>
      </c>
      <c r="E228" s="43">
        <v>224000000</v>
      </c>
      <c r="F228" s="43">
        <f>C228-G228</f>
        <v>0</v>
      </c>
      <c r="G228" s="43">
        <v>224000000</v>
      </c>
      <c r="H228" s="44">
        <f>G228/C228*100</f>
        <v>100</v>
      </c>
      <c r="I228" s="28"/>
      <c r="J228" s="29"/>
      <c r="K228" s="30"/>
      <c r="L228" s="31"/>
    </row>
    <row r="229" spans="1:12" ht="27.75" thickBot="1" x14ac:dyDescent="0.3">
      <c r="A229" s="42"/>
      <c r="B229" s="42" t="s">
        <v>271</v>
      </c>
      <c r="C229" s="43">
        <v>472500000</v>
      </c>
      <c r="D229" s="42" t="s">
        <v>19</v>
      </c>
      <c r="E229" s="43">
        <v>472500000</v>
      </c>
      <c r="F229" s="43">
        <f>C229-G229</f>
        <v>0</v>
      </c>
      <c r="G229" s="43">
        <v>472500000</v>
      </c>
      <c r="H229" s="44">
        <f>G229/C229*100</f>
        <v>100</v>
      </c>
      <c r="I229" s="28"/>
      <c r="J229" s="29"/>
      <c r="K229" s="30"/>
      <c r="L229" s="31"/>
    </row>
    <row r="230" spans="1:12" ht="27.75" thickBot="1" x14ac:dyDescent="0.3">
      <c r="A230" s="42"/>
      <c r="B230" s="42" t="s">
        <v>272</v>
      </c>
      <c r="C230" s="43">
        <v>487500000</v>
      </c>
      <c r="D230" s="42" t="s">
        <v>19</v>
      </c>
      <c r="E230" s="43">
        <v>487500000</v>
      </c>
      <c r="F230" s="43">
        <f>C230-G230</f>
        <v>0</v>
      </c>
      <c r="G230" s="43">
        <v>487500000</v>
      </c>
      <c r="H230" s="44">
        <f>G230/C230*100</f>
        <v>100</v>
      </c>
      <c r="I230" s="28"/>
      <c r="J230" s="29"/>
      <c r="K230" s="30"/>
      <c r="L230" s="31"/>
    </row>
    <row r="231" spans="1:12" ht="27.75" thickBot="1" x14ac:dyDescent="0.3">
      <c r="A231" s="42"/>
      <c r="B231" s="42" t="s">
        <v>273</v>
      </c>
      <c r="C231" s="43">
        <v>472500000</v>
      </c>
      <c r="D231" s="42" t="s">
        <v>19</v>
      </c>
      <c r="E231" s="43">
        <v>472500000</v>
      </c>
      <c r="F231" s="43">
        <f>C231-G231</f>
        <v>0</v>
      </c>
      <c r="G231" s="43">
        <v>472500000</v>
      </c>
      <c r="H231" s="44">
        <f>G231/C231*100</f>
        <v>100</v>
      </c>
      <c r="I231" s="28"/>
      <c r="J231" s="29"/>
      <c r="K231" s="30"/>
      <c r="L231" s="31"/>
    </row>
    <row r="232" spans="1:12" ht="27.75" thickBot="1" x14ac:dyDescent="0.3">
      <c r="A232" s="42"/>
      <c r="B232" s="42" t="s">
        <v>274</v>
      </c>
      <c r="C232" s="43">
        <v>487500000</v>
      </c>
      <c r="D232" s="42" t="s">
        <v>19</v>
      </c>
      <c r="E232" s="43">
        <v>487500000</v>
      </c>
      <c r="F232" s="43">
        <f>C232-G232</f>
        <v>0</v>
      </c>
      <c r="G232" s="43">
        <v>487500000</v>
      </c>
      <c r="H232" s="44">
        <f>G232/C232*100</f>
        <v>100</v>
      </c>
      <c r="I232" s="28"/>
      <c r="J232" s="29"/>
      <c r="K232" s="30"/>
      <c r="L232" s="31"/>
    </row>
    <row r="233" spans="1:12" ht="27.75" thickBot="1" x14ac:dyDescent="0.3">
      <c r="A233" s="42"/>
      <c r="B233" s="42" t="s">
        <v>275</v>
      </c>
      <c r="C233" s="43">
        <v>487500000</v>
      </c>
      <c r="D233" s="42" t="s">
        <v>19</v>
      </c>
      <c r="E233" s="43">
        <v>487500000</v>
      </c>
      <c r="F233" s="43">
        <f>C233-G233</f>
        <v>0</v>
      </c>
      <c r="G233" s="43">
        <v>487500000</v>
      </c>
      <c r="H233" s="44">
        <f>G233/C233*100</f>
        <v>100</v>
      </c>
      <c r="I233" s="28"/>
      <c r="J233" s="29"/>
      <c r="K233" s="30"/>
      <c r="L233" s="31"/>
    </row>
    <row r="234" spans="1:12" ht="17.25" thickBot="1" x14ac:dyDescent="0.3">
      <c r="A234" s="42"/>
      <c r="B234" s="42" t="s">
        <v>276</v>
      </c>
      <c r="C234" s="43">
        <v>199957000</v>
      </c>
      <c r="D234" s="42" t="s">
        <v>19</v>
      </c>
      <c r="E234" s="43">
        <v>0</v>
      </c>
      <c r="F234" s="43">
        <f>C234-G234</f>
        <v>3001000</v>
      </c>
      <c r="G234" s="43">
        <v>196956000</v>
      </c>
      <c r="H234" s="44">
        <f>G234/C234*100</f>
        <v>98.499177323124471</v>
      </c>
      <c r="I234" s="28"/>
      <c r="J234" s="29"/>
      <c r="K234" s="30"/>
      <c r="L234" s="31"/>
    </row>
    <row r="235" spans="1:12" ht="27.75" thickBot="1" x14ac:dyDescent="0.3">
      <c r="A235" s="42"/>
      <c r="B235" s="42" t="s">
        <v>277</v>
      </c>
      <c r="C235" s="43">
        <v>69375000</v>
      </c>
      <c r="D235" s="42" t="s">
        <v>194</v>
      </c>
      <c r="E235" s="43">
        <v>69375000</v>
      </c>
      <c r="F235" s="43">
        <f>C235-G235</f>
        <v>0</v>
      </c>
      <c r="G235" s="43">
        <v>69375000</v>
      </c>
      <c r="H235" s="44">
        <f>G235/C235*100</f>
        <v>100</v>
      </c>
      <c r="I235" s="28"/>
      <c r="J235" s="29"/>
      <c r="K235" s="30"/>
      <c r="L235" s="31"/>
    </row>
    <row r="236" spans="1:12" ht="17.25" thickBot="1" x14ac:dyDescent="0.3">
      <c r="A236" s="42"/>
      <c r="B236" s="42" t="s">
        <v>278</v>
      </c>
      <c r="C236" s="43">
        <v>1045451117</v>
      </c>
      <c r="D236" s="42" t="s">
        <v>89</v>
      </c>
      <c r="E236" s="43">
        <v>1045451117</v>
      </c>
      <c r="F236" s="43">
        <f>C236-G236</f>
        <v>0</v>
      </c>
      <c r="G236" s="43">
        <v>1045451117</v>
      </c>
      <c r="H236" s="44">
        <f>G236/C236*100</f>
        <v>100</v>
      </c>
      <c r="I236" s="28"/>
      <c r="J236" s="29"/>
      <c r="K236" s="30"/>
      <c r="L236" s="31"/>
    </row>
    <row r="237" spans="1:12" ht="27.75" thickBot="1" x14ac:dyDescent="0.3">
      <c r="A237" s="37" t="s">
        <v>279</v>
      </c>
      <c r="B237" s="37" t="s">
        <v>280</v>
      </c>
      <c r="C237" s="38">
        <v>100000000</v>
      </c>
      <c r="D237" s="39"/>
      <c r="E237" s="40"/>
      <c r="F237" s="38">
        <f>C237-G237</f>
        <v>19715100</v>
      </c>
      <c r="G237" s="38">
        <f>SUM(G238)</f>
        <v>80284900</v>
      </c>
      <c r="H237" s="45">
        <f>G237/C237*100</f>
        <v>80.284900000000007</v>
      </c>
      <c r="I237" s="28"/>
      <c r="J237" s="29"/>
      <c r="K237" s="30"/>
      <c r="L237" s="31"/>
    </row>
    <row r="238" spans="1:12" ht="17.25" thickBot="1" x14ac:dyDescent="0.3">
      <c r="A238" s="42"/>
      <c r="B238" s="42" t="s">
        <v>18</v>
      </c>
      <c r="C238" s="43">
        <v>100000000</v>
      </c>
      <c r="D238" s="42" t="s">
        <v>19</v>
      </c>
      <c r="E238" s="43">
        <v>0</v>
      </c>
      <c r="F238" s="43">
        <f>C238-G238</f>
        <v>19715100</v>
      </c>
      <c r="G238" s="43">
        <v>80284900</v>
      </c>
      <c r="H238" s="44">
        <f>G238/C238*100</f>
        <v>80.284900000000007</v>
      </c>
      <c r="I238" s="28"/>
      <c r="J238" s="29"/>
      <c r="K238" s="30"/>
      <c r="L238" s="31"/>
    </row>
    <row r="239" spans="1:12" ht="27.75" thickBot="1" x14ac:dyDescent="0.3">
      <c r="A239" s="37" t="s">
        <v>281</v>
      </c>
      <c r="B239" s="37" t="s">
        <v>282</v>
      </c>
      <c r="C239" s="38">
        <v>75000000</v>
      </c>
      <c r="D239" s="39"/>
      <c r="E239" s="40"/>
      <c r="F239" s="38">
        <f>C239-G239</f>
        <v>25218040</v>
      </c>
      <c r="G239" s="40">
        <f>SUM(G240)</f>
        <v>49781960</v>
      </c>
      <c r="H239" s="41">
        <f>G239/C239*100</f>
        <v>66.375946666666664</v>
      </c>
      <c r="I239" s="28"/>
      <c r="J239" s="29"/>
      <c r="K239" s="30"/>
      <c r="L239" s="31"/>
    </row>
    <row r="240" spans="1:12" ht="17.25" thickBot="1" x14ac:dyDescent="0.3">
      <c r="A240" s="42"/>
      <c r="B240" s="42" t="s">
        <v>18</v>
      </c>
      <c r="C240" s="43">
        <v>75000000</v>
      </c>
      <c r="D240" s="42" t="s">
        <v>19</v>
      </c>
      <c r="E240" s="43">
        <v>0</v>
      </c>
      <c r="F240" s="43">
        <f>C240-G240</f>
        <v>25218040</v>
      </c>
      <c r="G240" s="43">
        <v>49781960</v>
      </c>
      <c r="H240" s="44">
        <f>G240/C240*100</f>
        <v>66.375946666666664</v>
      </c>
      <c r="I240" s="28"/>
      <c r="J240" s="29"/>
      <c r="K240" s="30"/>
      <c r="L240" s="31"/>
    </row>
    <row r="241" spans="1:12" ht="17.25" thickBot="1" x14ac:dyDescent="0.3">
      <c r="A241" s="23" t="s">
        <v>283</v>
      </c>
      <c r="B241" s="24" t="s">
        <v>284</v>
      </c>
      <c r="C241" s="25">
        <f>SUM(C242)</f>
        <v>15787855000</v>
      </c>
      <c r="D241" s="23"/>
      <c r="E241" s="26"/>
      <c r="F241" s="25">
        <f>C241-G241</f>
        <v>231115100</v>
      </c>
      <c r="G241" s="25">
        <f>G242</f>
        <v>15556739900</v>
      </c>
      <c r="H241" s="27">
        <f>H242</f>
        <v>100</v>
      </c>
      <c r="I241" s="28"/>
      <c r="J241" s="29"/>
      <c r="K241" s="30"/>
      <c r="L241" s="31"/>
    </row>
    <row r="242" spans="1:12" ht="27.75" thickBot="1" x14ac:dyDescent="0.3">
      <c r="A242" s="32" t="s">
        <v>285</v>
      </c>
      <c r="B242" s="32" t="s">
        <v>286</v>
      </c>
      <c r="C242" s="33">
        <f>SUM(C243,C333)</f>
        <v>15787855000</v>
      </c>
      <c r="D242" s="34"/>
      <c r="E242" s="35"/>
      <c r="F242" s="33">
        <f>C242-G242</f>
        <v>231115100</v>
      </c>
      <c r="G242" s="33">
        <f>SUM(G243,G333)</f>
        <v>15556739900</v>
      </c>
      <c r="H242" s="36">
        <f>H243</f>
        <v>100</v>
      </c>
      <c r="I242" s="28"/>
      <c r="J242" s="29"/>
      <c r="K242" s="30"/>
      <c r="L242" s="31"/>
    </row>
    <row r="243" spans="1:12" ht="17.25" thickBot="1" x14ac:dyDescent="0.3">
      <c r="A243" s="37" t="s">
        <v>287</v>
      </c>
      <c r="B243" s="37" t="s">
        <v>288</v>
      </c>
      <c r="C243" s="38">
        <f>SUM(C244:C332)</f>
        <v>15737855000</v>
      </c>
      <c r="D243" s="39"/>
      <c r="E243" s="40"/>
      <c r="F243" s="38">
        <f>C243-G243</f>
        <v>230285100</v>
      </c>
      <c r="G243" s="38">
        <f>SUM(G244:G332)</f>
        <v>15507569900</v>
      </c>
      <c r="H243" s="45">
        <f>AVERAGE(H244:H330,H332)</f>
        <v>100</v>
      </c>
      <c r="I243" s="28"/>
      <c r="J243" s="29"/>
      <c r="K243" s="30"/>
      <c r="L243" s="31"/>
    </row>
    <row r="244" spans="1:12" ht="17.25" thickBot="1" x14ac:dyDescent="0.3">
      <c r="A244" s="42"/>
      <c r="B244" s="42" t="s">
        <v>289</v>
      </c>
      <c r="C244" s="43">
        <v>182000000</v>
      </c>
      <c r="D244" s="42" t="s">
        <v>89</v>
      </c>
      <c r="E244" s="43">
        <v>180042000</v>
      </c>
      <c r="F244" s="43">
        <f>C244-G244</f>
        <v>1958000</v>
      </c>
      <c r="G244" s="43">
        <v>180042000</v>
      </c>
      <c r="H244" s="44">
        <v>100</v>
      </c>
      <c r="I244" s="28"/>
      <c r="J244" s="29"/>
      <c r="K244" s="30"/>
      <c r="L244" s="31"/>
    </row>
    <row r="245" spans="1:12" ht="17.25" thickBot="1" x14ac:dyDescent="0.3">
      <c r="A245" s="42"/>
      <c r="B245" s="42" t="s">
        <v>290</v>
      </c>
      <c r="C245" s="43">
        <v>195000000</v>
      </c>
      <c r="D245" s="42" t="s">
        <v>89</v>
      </c>
      <c r="E245" s="43">
        <v>192585000</v>
      </c>
      <c r="F245" s="43">
        <f>C245-G245</f>
        <v>2415000</v>
      </c>
      <c r="G245" s="43">
        <v>192585000</v>
      </c>
      <c r="H245" s="44">
        <v>100</v>
      </c>
      <c r="I245" s="28"/>
      <c r="J245" s="29"/>
      <c r="K245" s="30"/>
      <c r="L245" s="31"/>
    </row>
    <row r="246" spans="1:12" ht="17.25" thickBot="1" x14ac:dyDescent="0.3">
      <c r="A246" s="42"/>
      <c r="B246" s="42" t="s">
        <v>291</v>
      </c>
      <c r="C246" s="43">
        <v>182000000</v>
      </c>
      <c r="D246" s="42" t="s">
        <v>89</v>
      </c>
      <c r="E246" s="43">
        <v>178932000</v>
      </c>
      <c r="F246" s="43">
        <f>C246-G246</f>
        <v>3068000</v>
      </c>
      <c r="G246" s="43">
        <v>178932000</v>
      </c>
      <c r="H246" s="44">
        <v>100</v>
      </c>
      <c r="I246" s="28"/>
      <c r="J246" s="29"/>
      <c r="K246" s="30"/>
      <c r="L246" s="31"/>
    </row>
    <row r="247" spans="1:12" ht="17.25" thickBot="1" x14ac:dyDescent="0.3">
      <c r="A247" s="42"/>
      <c r="B247" s="42" t="s">
        <v>292</v>
      </c>
      <c r="C247" s="43">
        <v>182000000</v>
      </c>
      <c r="D247" s="42" t="s">
        <v>89</v>
      </c>
      <c r="E247" s="43">
        <v>179376000</v>
      </c>
      <c r="F247" s="43">
        <f>C247-G247</f>
        <v>2624000</v>
      </c>
      <c r="G247" s="43">
        <v>179376000</v>
      </c>
      <c r="H247" s="44">
        <v>100</v>
      </c>
      <c r="I247" s="28"/>
      <c r="J247" s="29"/>
      <c r="K247" s="30"/>
      <c r="L247" s="31"/>
    </row>
    <row r="248" spans="1:12" ht="17.25" thickBot="1" x14ac:dyDescent="0.3">
      <c r="A248" s="42"/>
      <c r="B248" s="42" t="s">
        <v>293</v>
      </c>
      <c r="C248" s="43">
        <v>182000000</v>
      </c>
      <c r="D248" s="42" t="s">
        <v>89</v>
      </c>
      <c r="E248" s="43">
        <v>179487000</v>
      </c>
      <c r="F248" s="43">
        <f>C248-G248</f>
        <v>2513000</v>
      </c>
      <c r="G248" s="43">
        <v>179487000</v>
      </c>
      <c r="H248" s="44">
        <v>100</v>
      </c>
      <c r="I248" s="28"/>
      <c r="J248" s="29"/>
      <c r="K248" s="30"/>
      <c r="L248" s="31"/>
    </row>
    <row r="249" spans="1:12" ht="17.25" thickBot="1" x14ac:dyDescent="0.3">
      <c r="A249" s="42"/>
      <c r="B249" s="42" t="s">
        <v>294</v>
      </c>
      <c r="C249" s="43">
        <v>182000000</v>
      </c>
      <c r="D249" s="42" t="s">
        <v>89</v>
      </c>
      <c r="E249" s="43">
        <v>179487000</v>
      </c>
      <c r="F249" s="43">
        <f>C249-G249</f>
        <v>2513000</v>
      </c>
      <c r="G249" s="43">
        <v>179487000</v>
      </c>
      <c r="H249" s="44">
        <v>100</v>
      </c>
      <c r="I249" s="28"/>
      <c r="J249" s="29"/>
      <c r="K249" s="30"/>
      <c r="L249" s="31"/>
    </row>
    <row r="250" spans="1:12" ht="17.25" thickBot="1" x14ac:dyDescent="0.3">
      <c r="A250" s="42"/>
      <c r="B250" s="42" t="s">
        <v>295</v>
      </c>
      <c r="C250" s="43">
        <v>100000000</v>
      </c>
      <c r="D250" s="42" t="s">
        <v>89</v>
      </c>
      <c r="E250" s="43">
        <v>98568000</v>
      </c>
      <c r="F250" s="43">
        <f>C250-G250</f>
        <v>1432000</v>
      </c>
      <c r="G250" s="43">
        <v>98568000</v>
      </c>
      <c r="H250" s="44">
        <v>100</v>
      </c>
      <c r="I250" s="28"/>
      <c r="J250" s="29"/>
      <c r="K250" s="30"/>
      <c r="L250" s="31"/>
    </row>
    <row r="251" spans="1:12" ht="17.25" thickBot="1" x14ac:dyDescent="0.3">
      <c r="A251" s="42"/>
      <c r="B251" s="42" t="s">
        <v>296</v>
      </c>
      <c r="C251" s="43">
        <v>100000000</v>
      </c>
      <c r="D251" s="42" t="s">
        <v>89</v>
      </c>
      <c r="E251" s="43">
        <v>98457000</v>
      </c>
      <c r="F251" s="43">
        <f>C251-G251</f>
        <v>1543000</v>
      </c>
      <c r="G251" s="43">
        <v>98457000</v>
      </c>
      <c r="H251" s="44">
        <v>100</v>
      </c>
      <c r="I251" s="28"/>
      <c r="J251" s="29"/>
      <c r="K251" s="30"/>
      <c r="L251" s="31"/>
    </row>
    <row r="252" spans="1:12" ht="17.25" thickBot="1" x14ac:dyDescent="0.3">
      <c r="A252" s="42"/>
      <c r="B252" s="42" t="s">
        <v>297</v>
      </c>
      <c r="C252" s="43">
        <v>182000000</v>
      </c>
      <c r="D252" s="42" t="s">
        <v>89</v>
      </c>
      <c r="E252" s="43">
        <v>179931000</v>
      </c>
      <c r="F252" s="43">
        <f>C252-G252</f>
        <v>2069000</v>
      </c>
      <c r="G252" s="43">
        <v>179931000</v>
      </c>
      <c r="H252" s="44">
        <v>100</v>
      </c>
      <c r="I252" s="28"/>
      <c r="J252" s="29"/>
      <c r="K252" s="30"/>
      <c r="L252" s="31"/>
    </row>
    <row r="253" spans="1:12" ht="17.25" thickBot="1" x14ac:dyDescent="0.3">
      <c r="A253" s="42"/>
      <c r="B253" s="42" t="s">
        <v>298</v>
      </c>
      <c r="C253" s="43">
        <v>182000000</v>
      </c>
      <c r="D253" s="42" t="s">
        <v>89</v>
      </c>
      <c r="E253" s="43">
        <v>178266000</v>
      </c>
      <c r="F253" s="43">
        <f>C253-G253</f>
        <v>3734000</v>
      </c>
      <c r="G253" s="43">
        <v>178266000</v>
      </c>
      <c r="H253" s="44">
        <v>100</v>
      </c>
      <c r="I253" s="28"/>
      <c r="J253" s="29"/>
      <c r="K253" s="30"/>
      <c r="L253" s="31"/>
    </row>
    <row r="254" spans="1:12" ht="17.25" thickBot="1" x14ac:dyDescent="0.3">
      <c r="A254" s="42"/>
      <c r="B254" s="42" t="s">
        <v>299</v>
      </c>
      <c r="C254" s="43">
        <v>182000000</v>
      </c>
      <c r="D254" s="42" t="s">
        <v>89</v>
      </c>
      <c r="E254" s="43">
        <v>179931000</v>
      </c>
      <c r="F254" s="43">
        <f>C254-G254</f>
        <v>2069000</v>
      </c>
      <c r="G254" s="43">
        <v>179931000</v>
      </c>
      <c r="H254" s="44">
        <v>100</v>
      </c>
      <c r="I254" s="28"/>
      <c r="J254" s="29"/>
      <c r="K254" s="30"/>
      <c r="L254" s="31"/>
    </row>
    <row r="255" spans="1:12" ht="17.25" thickBot="1" x14ac:dyDescent="0.3">
      <c r="A255" s="42"/>
      <c r="B255" s="42" t="s">
        <v>300</v>
      </c>
      <c r="C255" s="43">
        <v>195000000</v>
      </c>
      <c r="D255" s="42" t="s">
        <v>89</v>
      </c>
      <c r="E255" s="43">
        <v>193029000</v>
      </c>
      <c r="F255" s="43">
        <f>C255-G255</f>
        <v>1971000</v>
      </c>
      <c r="G255" s="43">
        <v>193029000</v>
      </c>
      <c r="H255" s="44">
        <v>100</v>
      </c>
      <c r="I255" s="28"/>
      <c r="J255" s="29"/>
      <c r="K255" s="30"/>
      <c r="L255" s="31"/>
    </row>
    <row r="256" spans="1:12" ht="17.25" thickBot="1" x14ac:dyDescent="0.3">
      <c r="A256" s="42"/>
      <c r="B256" s="42" t="s">
        <v>301</v>
      </c>
      <c r="C256" s="43">
        <v>195000000</v>
      </c>
      <c r="D256" s="42" t="s">
        <v>89</v>
      </c>
      <c r="E256" s="43">
        <v>192585000</v>
      </c>
      <c r="F256" s="43">
        <f>C256-G256</f>
        <v>2415000</v>
      </c>
      <c r="G256" s="43">
        <v>192585000</v>
      </c>
      <c r="H256" s="44">
        <v>100</v>
      </c>
      <c r="I256" s="28"/>
      <c r="J256" s="29"/>
      <c r="K256" s="30"/>
      <c r="L256" s="31"/>
    </row>
    <row r="257" spans="1:12" ht="17.25" thickBot="1" x14ac:dyDescent="0.3">
      <c r="A257" s="42"/>
      <c r="B257" s="42" t="s">
        <v>302</v>
      </c>
      <c r="C257" s="43">
        <v>182000000</v>
      </c>
      <c r="D257" s="42" t="s">
        <v>89</v>
      </c>
      <c r="E257" s="43">
        <v>179487000</v>
      </c>
      <c r="F257" s="43">
        <f>C257-G257</f>
        <v>2513000</v>
      </c>
      <c r="G257" s="43">
        <v>179487000</v>
      </c>
      <c r="H257" s="44">
        <v>100</v>
      </c>
      <c r="I257" s="28"/>
      <c r="J257" s="29"/>
      <c r="K257" s="30"/>
      <c r="L257" s="31"/>
    </row>
    <row r="258" spans="1:12" ht="17.25" thickBot="1" x14ac:dyDescent="0.3">
      <c r="A258" s="42"/>
      <c r="B258" s="42" t="s">
        <v>303</v>
      </c>
      <c r="C258" s="43">
        <v>182000000</v>
      </c>
      <c r="D258" s="42" t="s">
        <v>89</v>
      </c>
      <c r="E258" s="43">
        <v>179931000</v>
      </c>
      <c r="F258" s="43">
        <f>C258-G258</f>
        <v>2069000</v>
      </c>
      <c r="G258" s="43">
        <v>179931000</v>
      </c>
      <c r="H258" s="44">
        <v>100</v>
      </c>
      <c r="I258" s="28"/>
      <c r="J258" s="29"/>
      <c r="K258" s="30"/>
      <c r="L258" s="31"/>
    </row>
    <row r="259" spans="1:12" ht="17.25" thickBot="1" x14ac:dyDescent="0.3">
      <c r="A259" s="42"/>
      <c r="B259" s="42" t="s">
        <v>304</v>
      </c>
      <c r="C259" s="43">
        <v>182000000</v>
      </c>
      <c r="D259" s="42" t="s">
        <v>89</v>
      </c>
      <c r="E259" s="43">
        <v>179820000</v>
      </c>
      <c r="F259" s="43">
        <f>C259-G259</f>
        <v>2180000</v>
      </c>
      <c r="G259" s="43">
        <v>179820000</v>
      </c>
      <c r="H259" s="44">
        <v>100</v>
      </c>
      <c r="I259" s="28"/>
      <c r="J259" s="29"/>
      <c r="K259" s="30"/>
      <c r="L259" s="31"/>
    </row>
    <row r="260" spans="1:12" ht="17.25" thickBot="1" x14ac:dyDescent="0.3">
      <c r="A260" s="42"/>
      <c r="B260" s="42" t="s">
        <v>305</v>
      </c>
      <c r="C260" s="43">
        <v>182000000</v>
      </c>
      <c r="D260" s="42" t="s">
        <v>89</v>
      </c>
      <c r="E260" s="43">
        <v>179820000</v>
      </c>
      <c r="F260" s="43">
        <f>C260-G260</f>
        <v>2180000</v>
      </c>
      <c r="G260" s="43">
        <v>179820000</v>
      </c>
      <c r="H260" s="44">
        <v>100</v>
      </c>
      <c r="I260" s="28"/>
      <c r="J260" s="29"/>
      <c r="K260" s="30"/>
      <c r="L260" s="31"/>
    </row>
    <row r="261" spans="1:12" ht="17.25" thickBot="1" x14ac:dyDescent="0.3">
      <c r="A261" s="42"/>
      <c r="B261" s="42" t="s">
        <v>306</v>
      </c>
      <c r="C261" s="43">
        <v>182000000</v>
      </c>
      <c r="D261" s="42" t="s">
        <v>89</v>
      </c>
      <c r="E261" s="43">
        <v>180042000</v>
      </c>
      <c r="F261" s="43">
        <f>C261-G261</f>
        <v>1958000</v>
      </c>
      <c r="G261" s="43">
        <v>180042000</v>
      </c>
      <c r="H261" s="44">
        <v>100</v>
      </c>
      <c r="I261" s="28"/>
      <c r="J261" s="29"/>
      <c r="K261" s="30"/>
      <c r="L261" s="31"/>
    </row>
    <row r="262" spans="1:12" ht="17.25" thickBot="1" x14ac:dyDescent="0.3">
      <c r="A262" s="42"/>
      <c r="B262" s="42" t="s">
        <v>307</v>
      </c>
      <c r="C262" s="43">
        <v>182000000</v>
      </c>
      <c r="D262" s="42" t="s">
        <v>89</v>
      </c>
      <c r="E262" s="43">
        <v>179487000</v>
      </c>
      <c r="F262" s="43">
        <f>C262-G262</f>
        <v>2513000</v>
      </c>
      <c r="G262" s="43">
        <v>179487000</v>
      </c>
      <c r="H262" s="44">
        <v>100</v>
      </c>
      <c r="I262" s="28"/>
      <c r="J262" s="29"/>
      <c r="K262" s="30"/>
      <c r="L262" s="31"/>
    </row>
    <row r="263" spans="1:12" ht="17.25" thickBot="1" x14ac:dyDescent="0.3">
      <c r="A263" s="42"/>
      <c r="B263" s="42" t="s">
        <v>308</v>
      </c>
      <c r="C263" s="43">
        <v>182000000</v>
      </c>
      <c r="D263" s="42" t="s">
        <v>89</v>
      </c>
      <c r="E263" s="43">
        <v>179376000</v>
      </c>
      <c r="F263" s="43">
        <f>C263-G263</f>
        <v>2624000</v>
      </c>
      <c r="G263" s="43">
        <v>179376000</v>
      </c>
      <c r="H263" s="44">
        <v>100</v>
      </c>
      <c r="I263" s="28"/>
      <c r="J263" s="29"/>
      <c r="K263" s="30"/>
      <c r="L263" s="31"/>
    </row>
    <row r="264" spans="1:12" ht="17.25" thickBot="1" x14ac:dyDescent="0.3">
      <c r="A264" s="42"/>
      <c r="B264" s="42" t="s">
        <v>309</v>
      </c>
      <c r="C264" s="43">
        <v>182000000</v>
      </c>
      <c r="D264" s="42" t="s">
        <v>89</v>
      </c>
      <c r="E264" s="43">
        <v>179820000</v>
      </c>
      <c r="F264" s="43">
        <f>C264-G264</f>
        <v>2180000</v>
      </c>
      <c r="G264" s="43">
        <v>179820000</v>
      </c>
      <c r="H264" s="44">
        <v>100</v>
      </c>
      <c r="I264" s="28"/>
      <c r="J264" s="29"/>
      <c r="K264" s="30"/>
      <c r="L264" s="31"/>
    </row>
    <row r="265" spans="1:12" ht="17.25" thickBot="1" x14ac:dyDescent="0.3">
      <c r="A265" s="42"/>
      <c r="B265" s="42" t="s">
        <v>310</v>
      </c>
      <c r="C265" s="43">
        <v>182000000</v>
      </c>
      <c r="D265" s="42" t="s">
        <v>89</v>
      </c>
      <c r="E265" s="43">
        <v>179487000</v>
      </c>
      <c r="F265" s="43">
        <f>C265-G265</f>
        <v>2513000</v>
      </c>
      <c r="G265" s="43">
        <v>179487000</v>
      </c>
      <c r="H265" s="44">
        <v>100</v>
      </c>
      <c r="I265" s="28"/>
      <c r="J265" s="29"/>
      <c r="K265" s="30"/>
      <c r="L265" s="31"/>
    </row>
    <row r="266" spans="1:12" ht="17.25" thickBot="1" x14ac:dyDescent="0.3">
      <c r="A266" s="42"/>
      <c r="B266" s="42" t="s">
        <v>311</v>
      </c>
      <c r="C266" s="43">
        <v>182000000</v>
      </c>
      <c r="D266" s="42" t="s">
        <v>89</v>
      </c>
      <c r="E266" s="43">
        <v>180153000</v>
      </c>
      <c r="F266" s="43">
        <f>C266-G266</f>
        <v>1847000</v>
      </c>
      <c r="G266" s="43">
        <v>180153000</v>
      </c>
      <c r="H266" s="44">
        <v>100</v>
      </c>
      <c r="I266" s="28"/>
      <c r="J266" s="29"/>
      <c r="K266" s="30"/>
      <c r="L266" s="31"/>
    </row>
    <row r="267" spans="1:12" ht="17.25" thickBot="1" x14ac:dyDescent="0.3">
      <c r="A267" s="42"/>
      <c r="B267" s="42" t="s">
        <v>312</v>
      </c>
      <c r="C267" s="43">
        <v>182000000</v>
      </c>
      <c r="D267" s="42" t="s">
        <v>89</v>
      </c>
      <c r="E267" s="43">
        <v>180042000</v>
      </c>
      <c r="F267" s="43">
        <f>C267-G267</f>
        <v>1958000</v>
      </c>
      <c r="G267" s="43">
        <v>180042000</v>
      </c>
      <c r="H267" s="44">
        <v>100</v>
      </c>
      <c r="I267" s="28"/>
      <c r="J267" s="29"/>
      <c r="K267" s="30"/>
      <c r="L267" s="31"/>
    </row>
    <row r="268" spans="1:12" ht="17.25" thickBot="1" x14ac:dyDescent="0.3">
      <c r="A268" s="42"/>
      <c r="B268" s="42" t="s">
        <v>313</v>
      </c>
      <c r="C268" s="43">
        <v>182000000</v>
      </c>
      <c r="D268" s="42" t="s">
        <v>89</v>
      </c>
      <c r="E268" s="43">
        <v>179598000</v>
      </c>
      <c r="F268" s="43">
        <f>C268-G268</f>
        <v>2402000</v>
      </c>
      <c r="G268" s="43">
        <v>179598000</v>
      </c>
      <c r="H268" s="44">
        <v>100</v>
      </c>
      <c r="I268" s="28"/>
      <c r="J268" s="29"/>
      <c r="K268" s="30"/>
      <c r="L268" s="31"/>
    </row>
    <row r="269" spans="1:12" ht="17.25" thickBot="1" x14ac:dyDescent="0.3">
      <c r="A269" s="42"/>
      <c r="B269" s="42" t="s">
        <v>314</v>
      </c>
      <c r="C269" s="43">
        <v>182000000</v>
      </c>
      <c r="D269" s="42" t="s">
        <v>89</v>
      </c>
      <c r="E269" s="43">
        <v>179820000</v>
      </c>
      <c r="F269" s="43">
        <f>C269-G269</f>
        <v>2180000</v>
      </c>
      <c r="G269" s="43">
        <f>179820000</f>
        <v>179820000</v>
      </c>
      <c r="H269" s="44">
        <v>100</v>
      </c>
      <c r="I269" s="28"/>
      <c r="J269" s="29"/>
      <c r="K269" s="30"/>
      <c r="L269" s="31"/>
    </row>
    <row r="270" spans="1:12" ht="17.25" thickBot="1" x14ac:dyDescent="0.3">
      <c r="A270" s="42"/>
      <c r="B270" s="42" t="s">
        <v>315</v>
      </c>
      <c r="C270" s="43">
        <v>182000000</v>
      </c>
      <c r="D270" s="42" t="s">
        <v>89</v>
      </c>
      <c r="E270" s="43">
        <v>179820000</v>
      </c>
      <c r="F270" s="43">
        <f>C270-G270</f>
        <v>2180000</v>
      </c>
      <c r="G270" s="43">
        <v>179820000</v>
      </c>
      <c r="H270" s="44">
        <v>100</v>
      </c>
      <c r="I270" s="28"/>
      <c r="J270" s="29"/>
      <c r="K270" s="30"/>
      <c r="L270" s="31"/>
    </row>
    <row r="271" spans="1:12" ht="17.25" thickBot="1" x14ac:dyDescent="0.3">
      <c r="A271" s="42"/>
      <c r="B271" s="42" t="s">
        <v>316</v>
      </c>
      <c r="C271" s="43">
        <v>182000000</v>
      </c>
      <c r="D271" s="42" t="s">
        <v>89</v>
      </c>
      <c r="E271" s="43">
        <v>180042000</v>
      </c>
      <c r="F271" s="43">
        <f>C271-G271</f>
        <v>1958000</v>
      </c>
      <c r="G271" s="43">
        <v>180042000</v>
      </c>
      <c r="H271" s="44">
        <v>100</v>
      </c>
      <c r="I271" s="28"/>
      <c r="J271" s="29"/>
      <c r="K271" s="30"/>
      <c r="L271" s="31"/>
    </row>
    <row r="272" spans="1:12" ht="17.25" thickBot="1" x14ac:dyDescent="0.3">
      <c r="A272" s="42"/>
      <c r="B272" s="42" t="s">
        <v>317</v>
      </c>
      <c r="C272" s="43">
        <v>182000000</v>
      </c>
      <c r="D272" s="42" t="s">
        <v>89</v>
      </c>
      <c r="E272" s="43">
        <v>179820000</v>
      </c>
      <c r="F272" s="43">
        <f>C272-G272</f>
        <v>2180000</v>
      </c>
      <c r="G272" s="43">
        <v>179820000</v>
      </c>
      <c r="H272" s="44">
        <v>100</v>
      </c>
      <c r="I272" s="28"/>
      <c r="J272" s="29"/>
      <c r="K272" s="30"/>
      <c r="L272" s="31"/>
    </row>
    <row r="273" spans="1:12" ht="17.25" thickBot="1" x14ac:dyDescent="0.3">
      <c r="A273" s="42"/>
      <c r="B273" s="42" t="s">
        <v>318</v>
      </c>
      <c r="C273" s="43">
        <v>182000000</v>
      </c>
      <c r="D273" s="42" t="s">
        <v>89</v>
      </c>
      <c r="E273" s="43">
        <v>179715000</v>
      </c>
      <c r="F273" s="43">
        <f>C273-G273</f>
        <v>2285000</v>
      </c>
      <c r="G273" s="43">
        <v>179715000</v>
      </c>
      <c r="H273" s="44">
        <v>100</v>
      </c>
      <c r="I273" s="28"/>
      <c r="J273" s="29"/>
      <c r="K273" s="30"/>
      <c r="L273" s="31"/>
    </row>
    <row r="274" spans="1:12" ht="17.25" thickBot="1" x14ac:dyDescent="0.3">
      <c r="A274" s="42"/>
      <c r="B274" s="42" t="s">
        <v>319</v>
      </c>
      <c r="C274" s="43">
        <v>182000000</v>
      </c>
      <c r="D274" s="42" t="s">
        <v>89</v>
      </c>
      <c r="E274" s="43">
        <v>179981000</v>
      </c>
      <c r="F274" s="43">
        <f>C274-G274</f>
        <v>2019000</v>
      </c>
      <c r="G274" s="43">
        <v>179981000</v>
      </c>
      <c r="H274" s="44">
        <v>100</v>
      </c>
      <c r="I274" s="28"/>
      <c r="J274" s="29"/>
      <c r="K274" s="30"/>
      <c r="L274" s="31"/>
    </row>
    <row r="275" spans="1:12" ht="17.25" thickBot="1" x14ac:dyDescent="0.3">
      <c r="A275" s="42"/>
      <c r="B275" s="42" t="s">
        <v>320</v>
      </c>
      <c r="C275" s="43">
        <v>182000000</v>
      </c>
      <c r="D275" s="42" t="s">
        <v>89</v>
      </c>
      <c r="E275" s="43">
        <v>179672000</v>
      </c>
      <c r="F275" s="43">
        <f>C275-G275</f>
        <v>2328000</v>
      </c>
      <c r="G275" s="43">
        <v>179672000</v>
      </c>
      <c r="H275" s="44">
        <v>100</v>
      </c>
      <c r="I275" s="28"/>
      <c r="J275" s="29"/>
      <c r="K275" s="30"/>
      <c r="L275" s="31"/>
    </row>
    <row r="276" spans="1:12" ht="17.25" thickBot="1" x14ac:dyDescent="0.3">
      <c r="A276" s="42"/>
      <c r="B276" s="42" t="s">
        <v>321</v>
      </c>
      <c r="C276" s="43">
        <v>182000000</v>
      </c>
      <c r="D276" s="42" t="s">
        <v>89</v>
      </c>
      <c r="E276" s="43">
        <v>179633000</v>
      </c>
      <c r="F276" s="43">
        <f>C276-G276</f>
        <v>2367000</v>
      </c>
      <c r="G276" s="43">
        <v>179633000</v>
      </c>
      <c r="H276" s="44">
        <v>100</v>
      </c>
      <c r="I276" s="28"/>
      <c r="J276" s="29"/>
      <c r="K276" s="30"/>
      <c r="L276" s="31"/>
    </row>
    <row r="277" spans="1:12" ht="17.25" thickBot="1" x14ac:dyDescent="0.3">
      <c r="A277" s="42"/>
      <c r="B277" s="42" t="s">
        <v>322</v>
      </c>
      <c r="C277" s="43">
        <v>182000000</v>
      </c>
      <c r="D277" s="42" t="s">
        <v>89</v>
      </c>
      <c r="E277" s="43">
        <v>177777000</v>
      </c>
      <c r="F277" s="43">
        <f>C277-G277</f>
        <v>4223000</v>
      </c>
      <c r="G277" s="43">
        <v>177777000</v>
      </c>
      <c r="H277" s="44">
        <v>100</v>
      </c>
      <c r="I277" s="28"/>
      <c r="J277" s="29"/>
      <c r="K277" s="30"/>
      <c r="L277" s="31"/>
    </row>
    <row r="278" spans="1:12" ht="17.25" thickBot="1" x14ac:dyDescent="0.3">
      <c r="A278" s="42"/>
      <c r="B278" s="42" t="s">
        <v>323</v>
      </c>
      <c r="C278" s="43">
        <v>182000000</v>
      </c>
      <c r="D278" s="42" t="s">
        <v>89</v>
      </c>
      <c r="E278" s="43">
        <v>180165000</v>
      </c>
      <c r="F278" s="43">
        <f>C278-G278</f>
        <v>1835000</v>
      </c>
      <c r="G278" s="43">
        <v>180165000</v>
      </c>
      <c r="H278" s="44">
        <v>100</v>
      </c>
      <c r="I278" s="28"/>
      <c r="J278" s="29"/>
      <c r="K278" s="30"/>
      <c r="L278" s="31"/>
    </row>
    <row r="279" spans="1:12" ht="17.25" thickBot="1" x14ac:dyDescent="0.3">
      <c r="A279" s="42"/>
      <c r="B279" s="42" t="s">
        <v>324</v>
      </c>
      <c r="C279" s="43">
        <v>182000000</v>
      </c>
      <c r="D279" s="42" t="s">
        <v>89</v>
      </c>
      <c r="E279" s="43">
        <v>180000000</v>
      </c>
      <c r="F279" s="43">
        <f>C279-G279</f>
        <v>2000000</v>
      </c>
      <c r="G279" s="43">
        <v>180000000</v>
      </c>
      <c r="H279" s="44">
        <v>100</v>
      </c>
      <c r="I279" s="28"/>
      <c r="J279" s="29"/>
      <c r="K279" s="30"/>
      <c r="L279" s="31"/>
    </row>
    <row r="280" spans="1:12" ht="17.25" thickBot="1" x14ac:dyDescent="0.3">
      <c r="A280" s="42"/>
      <c r="B280" s="42" t="s">
        <v>325</v>
      </c>
      <c r="C280" s="43">
        <v>182000000</v>
      </c>
      <c r="D280" s="42" t="s">
        <v>89</v>
      </c>
      <c r="E280" s="43">
        <v>178957000</v>
      </c>
      <c r="F280" s="43">
        <f>C280-G280</f>
        <v>3043000</v>
      </c>
      <c r="G280" s="43">
        <v>178957000</v>
      </c>
      <c r="H280" s="44">
        <v>100</v>
      </c>
      <c r="I280" s="28"/>
      <c r="J280" s="29"/>
      <c r="K280" s="30"/>
      <c r="L280" s="31"/>
    </row>
    <row r="281" spans="1:12" ht="17.25" thickBot="1" x14ac:dyDescent="0.3">
      <c r="A281" s="42"/>
      <c r="B281" s="42" t="s">
        <v>326</v>
      </c>
      <c r="C281" s="43">
        <v>182000000</v>
      </c>
      <c r="D281" s="42" t="s">
        <v>89</v>
      </c>
      <c r="E281" s="43">
        <v>179795000</v>
      </c>
      <c r="F281" s="43">
        <f>C281-G281</f>
        <v>2205000</v>
      </c>
      <c r="G281" s="43">
        <f>179795000</f>
        <v>179795000</v>
      </c>
      <c r="H281" s="44">
        <v>100</v>
      </c>
      <c r="I281" s="28"/>
      <c r="J281" s="29"/>
      <c r="K281" s="30"/>
      <c r="L281" s="31"/>
    </row>
    <row r="282" spans="1:12" ht="17.25" thickBot="1" x14ac:dyDescent="0.3">
      <c r="A282" s="42"/>
      <c r="B282" s="42" t="s">
        <v>327</v>
      </c>
      <c r="C282" s="43">
        <v>195000000</v>
      </c>
      <c r="D282" s="42" t="s">
        <v>89</v>
      </c>
      <c r="E282" s="43">
        <v>193455000</v>
      </c>
      <c r="F282" s="43">
        <f>C282-G282</f>
        <v>1545000</v>
      </c>
      <c r="G282" s="43">
        <f>193455000</f>
        <v>193455000</v>
      </c>
      <c r="H282" s="44">
        <v>100</v>
      </c>
      <c r="I282" s="28"/>
      <c r="J282" s="29"/>
      <c r="K282" s="30"/>
      <c r="L282" s="31"/>
    </row>
    <row r="283" spans="1:12" ht="17.25" thickBot="1" x14ac:dyDescent="0.3">
      <c r="A283" s="42"/>
      <c r="B283" s="42" t="s">
        <v>328</v>
      </c>
      <c r="C283" s="43">
        <v>182000000</v>
      </c>
      <c r="D283" s="42" t="s">
        <v>89</v>
      </c>
      <c r="E283" s="43">
        <v>178253000</v>
      </c>
      <c r="F283" s="43">
        <f>C283-G283</f>
        <v>3747000</v>
      </c>
      <c r="G283" s="43">
        <v>178253000</v>
      </c>
      <c r="H283" s="44">
        <v>100</v>
      </c>
      <c r="I283" s="28"/>
      <c r="J283" s="29"/>
      <c r="K283" s="30"/>
      <c r="L283" s="31"/>
    </row>
    <row r="284" spans="1:12" ht="17.25" thickBot="1" x14ac:dyDescent="0.3">
      <c r="A284" s="42"/>
      <c r="B284" s="42" t="s">
        <v>329</v>
      </c>
      <c r="C284" s="43">
        <v>147000000</v>
      </c>
      <c r="D284" s="42" t="s">
        <v>89</v>
      </c>
      <c r="E284" s="43">
        <v>145223000</v>
      </c>
      <c r="F284" s="43">
        <f>C284-G284</f>
        <v>1777000</v>
      </c>
      <c r="G284" s="43">
        <v>145223000</v>
      </c>
      <c r="H284" s="44">
        <v>100</v>
      </c>
      <c r="I284" s="28"/>
      <c r="J284" s="29"/>
      <c r="K284" s="30"/>
      <c r="L284" s="31"/>
    </row>
    <row r="285" spans="1:12" ht="17.25" thickBot="1" x14ac:dyDescent="0.3">
      <c r="A285" s="42"/>
      <c r="B285" s="42" t="s">
        <v>330</v>
      </c>
      <c r="C285" s="43">
        <v>100000000</v>
      </c>
      <c r="D285" s="42" t="s">
        <v>89</v>
      </c>
      <c r="E285" s="43">
        <v>97854000</v>
      </c>
      <c r="F285" s="43">
        <f>C285-G285</f>
        <v>2146000</v>
      </c>
      <c r="G285" s="43">
        <v>97854000</v>
      </c>
      <c r="H285" s="44">
        <v>100</v>
      </c>
      <c r="I285" s="28"/>
      <c r="J285" s="29"/>
      <c r="K285" s="30"/>
      <c r="L285" s="31"/>
    </row>
    <row r="286" spans="1:12" ht="17.25" thickBot="1" x14ac:dyDescent="0.3">
      <c r="A286" s="42"/>
      <c r="B286" s="42" t="s">
        <v>331</v>
      </c>
      <c r="C286" s="43">
        <v>182000000</v>
      </c>
      <c r="D286" s="42" t="s">
        <v>89</v>
      </c>
      <c r="E286" s="43">
        <v>179813000</v>
      </c>
      <c r="F286" s="43">
        <f>C286-G286</f>
        <v>2187000</v>
      </c>
      <c r="G286" s="43">
        <v>179813000</v>
      </c>
      <c r="H286" s="44">
        <v>100</v>
      </c>
      <c r="I286" s="28"/>
      <c r="J286" s="29"/>
      <c r="K286" s="30"/>
      <c r="L286" s="31"/>
    </row>
    <row r="287" spans="1:12" ht="17.25" thickBot="1" x14ac:dyDescent="0.3">
      <c r="A287" s="42"/>
      <c r="B287" s="42" t="s">
        <v>332</v>
      </c>
      <c r="C287" s="43">
        <v>147000000</v>
      </c>
      <c r="D287" s="42" t="s">
        <v>89</v>
      </c>
      <c r="E287" s="43">
        <v>144737000</v>
      </c>
      <c r="F287" s="43">
        <f>C287-G287</f>
        <v>2263000</v>
      </c>
      <c r="G287" s="43">
        <v>144737000</v>
      </c>
      <c r="H287" s="44">
        <v>100</v>
      </c>
      <c r="I287" s="28"/>
      <c r="J287" s="29"/>
      <c r="K287" s="30"/>
      <c r="L287" s="31"/>
    </row>
    <row r="288" spans="1:12" ht="17.25" thickBot="1" x14ac:dyDescent="0.3">
      <c r="A288" s="42"/>
      <c r="B288" s="42" t="s">
        <v>333</v>
      </c>
      <c r="C288" s="43">
        <v>182000000</v>
      </c>
      <c r="D288" s="42" t="s">
        <v>89</v>
      </c>
      <c r="E288" s="43">
        <v>179142000</v>
      </c>
      <c r="F288" s="43">
        <f>C288-G288</f>
        <v>2858000</v>
      </c>
      <c r="G288" s="43">
        <v>179142000</v>
      </c>
      <c r="H288" s="44">
        <v>100</v>
      </c>
      <c r="I288" s="28"/>
      <c r="J288" s="29"/>
      <c r="K288" s="30"/>
      <c r="L288" s="31"/>
    </row>
    <row r="289" spans="1:12" ht="17.25" thickBot="1" x14ac:dyDescent="0.3">
      <c r="A289" s="42"/>
      <c r="B289" s="42" t="s">
        <v>334</v>
      </c>
      <c r="C289" s="43">
        <v>182000000</v>
      </c>
      <c r="D289" s="42" t="s">
        <v>89</v>
      </c>
      <c r="E289" s="43">
        <v>178751000</v>
      </c>
      <c r="F289" s="43">
        <f>C289-G289</f>
        <v>3249000</v>
      </c>
      <c r="G289" s="43">
        <v>178751000</v>
      </c>
      <c r="H289" s="44">
        <v>100</v>
      </c>
      <c r="I289" s="28"/>
      <c r="J289" s="29"/>
      <c r="K289" s="30"/>
      <c r="L289" s="31"/>
    </row>
    <row r="290" spans="1:12" ht="17.25" thickBot="1" x14ac:dyDescent="0.3">
      <c r="A290" s="42"/>
      <c r="B290" s="42" t="s">
        <v>335</v>
      </c>
      <c r="C290" s="43">
        <v>195000000</v>
      </c>
      <c r="D290" s="42" t="s">
        <v>89</v>
      </c>
      <c r="E290" s="43">
        <v>192451000</v>
      </c>
      <c r="F290" s="43">
        <f>C290-G290</f>
        <v>2549000</v>
      </c>
      <c r="G290" s="43">
        <v>192451000</v>
      </c>
      <c r="H290" s="44">
        <v>100</v>
      </c>
      <c r="I290" s="28"/>
      <c r="J290" s="29"/>
      <c r="K290" s="30"/>
      <c r="L290" s="31"/>
    </row>
    <row r="291" spans="1:12" ht="17.25" thickBot="1" x14ac:dyDescent="0.3">
      <c r="A291" s="42"/>
      <c r="B291" s="42" t="s">
        <v>336</v>
      </c>
      <c r="C291" s="43">
        <v>182000000</v>
      </c>
      <c r="D291" s="42" t="s">
        <v>89</v>
      </c>
      <c r="E291" s="43">
        <v>178882000</v>
      </c>
      <c r="F291" s="43">
        <f>C291-G291</f>
        <v>3118000</v>
      </c>
      <c r="G291" s="43">
        <v>178882000</v>
      </c>
      <c r="H291" s="44">
        <v>100</v>
      </c>
      <c r="I291" s="28"/>
      <c r="J291" s="29"/>
      <c r="K291" s="30"/>
      <c r="L291" s="31"/>
    </row>
    <row r="292" spans="1:12" ht="17.25" thickBot="1" x14ac:dyDescent="0.3">
      <c r="A292" s="42"/>
      <c r="B292" s="42" t="s">
        <v>337</v>
      </c>
      <c r="C292" s="43">
        <v>182000000</v>
      </c>
      <c r="D292" s="42" t="s">
        <v>89</v>
      </c>
      <c r="E292" s="43">
        <v>179821000</v>
      </c>
      <c r="F292" s="43">
        <f>C292-G292</f>
        <v>2179000</v>
      </c>
      <c r="G292" s="43">
        <v>179821000</v>
      </c>
      <c r="H292" s="44">
        <v>100</v>
      </c>
      <c r="I292" s="28"/>
      <c r="J292" s="29"/>
      <c r="K292" s="30"/>
      <c r="L292" s="31"/>
    </row>
    <row r="293" spans="1:12" ht="17.25" thickBot="1" x14ac:dyDescent="0.3">
      <c r="A293" s="42"/>
      <c r="B293" s="42" t="s">
        <v>338</v>
      </c>
      <c r="C293" s="43">
        <v>182000000</v>
      </c>
      <c r="D293" s="42" t="s">
        <v>89</v>
      </c>
      <c r="E293" s="43">
        <v>178619000</v>
      </c>
      <c r="F293" s="43">
        <f>C293-G293</f>
        <v>3381000</v>
      </c>
      <c r="G293" s="43">
        <v>178619000</v>
      </c>
      <c r="H293" s="44">
        <v>100</v>
      </c>
      <c r="I293" s="28"/>
      <c r="J293" s="29"/>
      <c r="K293" s="30"/>
      <c r="L293" s="31"/>
    </row>
    <row r="294" spans="1:12" ht="17.25" thickBot="1" x14ac:dyDescent="0.3">
      <c r="A294" s="42"/>
      <c r="B294" s="42" t="s">
        <v>339</v>
      </c>
      <c r="C294" s="43">
        <v>182000000</v>
      </c>
      <c r="D294" s="42" t="s">
        <v>89</v>
      </c>
      <c r="E294" s="43">
        <v>178622000</v>
      </c>
      <c r="F294" s="43">
        <f>C294-G294</f>
        <v>3378000</v>
      </c>
      <c r="G294" s="43">
        <v>178622000</v>
      </c>
      <c r="H294" s="44">
        <v>100</v>
      </c>
      <c r="I294" s="28"/>
      <c r="J294" s="29"/>
      <c r="K294" s="30"/>
      <c r="L294" s="31"/>
    </row>
    <row r="295" spans="1:12" ht="17.25" thickBot="1" x14ac:dyDescent="0.3">
      <c r="A295" s="42"/>
      <c r="B295" s="42" t="s">
        <v>340</v>
      </c>
      <c r="C295" s="43">
        <v>182000000</v>
      </c>
      <c r="D295" s="42" t="s">
        <v>89</v>
      </c>
      <c r="E295" s="43">
        <v>180025000</v>
      </c>
      <c r="F295" s="43">
        <f>C295-G295</f>
        <v>1975000</v>
      </c>
      <c r="G295" s="43">
        <v>180025000</v>
      </c>
      <c r="H295" s="44">
        <v>100</v>
      </c>
      <c r="I295" s="28"/>
      <c r="J295" s="29"/>
      <c r="K295" s="30"/>
      <c r="L295" s="31"/>
    </row>
    <row r="296" spans="1:12" ht="17.25" thickBot="1" x14ac:dyDescent="0.3">
      <c r="A296" s="42"/>
      <c r="B296" s="42" t="s">
        <v>341</v>
      </c>
      <c r="C296" s="43">
        <v>182000000</v>
      </c>
      <c r="D296" s="42" t="s">
        <v>89</v>
      </c>
      <c r="E296" s="43">
        <v>179559000</v>
      </c>
      <c r="F296" s="43">
        <f>C296-G296</f>
        <v>2441000</v>
      </c>
      <c r="G296" s="43">
        <v>179559000</v>
      </c>
      <c r="H296" s="44">
        <v>100</v>
      </c>
      <c r="I296" s="28"/>
      <c r="J296" s="29"/>
      <c r="K296" s="30"/>
      <c r="L296" s="31"/>
    </row>
    <row r="297" spans="1:12" ht="17.25" thickBot="1" x14ac:dyDescent="0.3">
      <c r="A297" s="42"/>
      <c r="B297" s="42" t="s">
        <v>342</v>
      </c>
      <c r="C297" s="43">
        <v>182000000</v>
      </c>
      <c r="D297" s="42" t="s">
        <v>89</v>
      </c>
      <c r="E297" s="43">
        <v>179724000</v>
      </c>
      <c r="F297" s="43">
        <f>C297-G297</f>
        <v>2276000</v>
      </c>
      <c r="G297" s="43">
        <v>179724000</v>
      </c>
      <c r="H297" s="44">
        <v>100</v>
      </c>
      <c r="I297" s="28"/>
      <c r="J297" s="29"/>
      <c r="K297" s="30"/>
      <c r="L297" s="31"/>
    </row>
    <row r="298" spans="1:12" ht="27.75" thickBot="1" x14ac:dyDescent="0.3">
      <c r="A298" s="42"/>
      <c r="B298" s="42" t="s">
        <v>343</v>
      </c>
      <c r="C298" s="43">
        <v>147000000</v>
      </c>
      <c r="D298" s="42" t="s">
        <v>89</v>
      </c>
      <c r="E298" s="43">
        <v>145048000</v>
      </c>
      <c r="F298" s="43">
        <f>C298-G298</f>
        <v>1916000</v>
      </c>
      <c r="G298" s="43">
        <v>145084000</v>
      </c>
      <c r="H298" s="44">
        <v>100</v>
      </c>
      <c r="I298" s="28"/>
      <c r="J298" s="29"/>
      <c r="K298" s="30"/>
      <c r="L298" s="31"/>
    </row>
    <row r="299" spans="1:12" ht="17.25" thickBot="1" x14ac:dyDescent="0.3">
      <c r="A299" s="42"/>
      <c r="B299" s="42" t="s">
        <v>344</v>
      </c>
      <c r="C299" s="43">
        <v>100000000</v>
      </c>
      <c r="D299" s="42" t="s">
        <v>89</v>
      </c>
      <c r="E299" s="43">
        <v>98453000</v>
      </c>
      <c r="F299" s="43">
        <f>C299-G299</f>
        <v>1547000</v>
      </c>
      <c r="G299" s="43">
        <v>98453000</v>
      </c>
      <c r="H299" s="44">
        <v>100</v>
      </c>
      <c r="I299" s="28"/>
      <c r="J299" s="29"/>
      <c r="K299" s="30"/>
      <c r="L299" s="31"/>
    </row>
    <row r="300" spans="1:12" ht="17.25" thickBot="1" x14ac:dyDescent="0.3">
      <c r="A300" s="42"/>
      <c r="B300" s="42" t="s">
        <v>345</v>
      </c>
      <c r="C300" s="43">
        <v>147000000</v>
      </c>
      <c r="D300" s="42" t="s">
        <v>89</v>
      </c>
      <c r="E300" s="43">
        <v>144665000</v>
      </c>
      <c r="F300" s="43">
        <f>C300-G300</f>
        <v>2335000</v>
      </c>
      <c r="G300" s="43">
        <v>144665000</v>
      </c>
      <c r="H300" s="44">
        <v>100</v>
      </c>
      <c r="I300" s="28"/>
      <c r="J300" s="29"/>
      <c r="K300" s="30"/>
      <c r="L300" s="31"/>
    </row>
    <row r="301" spans="1:12" ht="17.25" thickBot="1" x14ac:dyDescent="0.3">
      <c r="A301" s="42"/>
      <c r="B301" s="42" t="s">
        <v>346</v>
      </c>
      <c r="C301" s="43">
        <v>182000000</v>
      </c>
      <c r="D301" s="42" t="s">
        <v>89</v>
      </c>
      <c r="E301" s="43">
        <v>179589000</v>
      </c>
      <c r="F301" s="43">
        <f>C301-G301</f>
        <v>2411000</v>
      </c>
      <c r="G301" s="43">
        <v>179589000</v>
      </c>
      <c r="H301" s="44">
        <v>100</v>
      </c>
      <c r="I301" s="28"/>
      <c r="J301" s="29"/>
      <c r="K301" s="30"/>
      <c r="L301" s="31"/>
    </row>
    <row r="302" spans="1:12" ht="17.25" thickBot="1" x14ac:dyDescent="0.3">
      <c r="A302" s="42"/>
      <c r="B302" s="42" t="s">
        <v>347</v>
      </c>
      <c r="C302" s="43">
        <v>182000000</v>
      </c>
      <c r="D302" s="42" t="s">
        <v>89</v>
      </c>
      <c r="E302" s="43">
        <v>179212000</v>
      </c>
      <c r="F302" s="43">
        <f>C302-G302</f>
        <v>2788000</v>
      </c>
      <c r="G302" s="43">
        <v>179212000</v>
      </c>
      <c r="H302" s="44">
        <v>100</v>
      </c>
      <c r="I302" s="28"/>
      <c r="J302" s="29"/>
      <c r="K302" s="30"/>
      <c r="L302" s="31"/>
    </row>
    <row r="303" spans="1:12" ht="17.25" thickBot="1" x14ac:dyDescent="0.3">
      <c r="A303" s="42"/>
      <c r="B303" s="42" t="s">
        <v>348</v>
      </c>
      <c r="C303" s="43">
        <v>182000000</v>
      </c>
      <c r="D303" s="42" t="s">
        <v>89</v>
      </c>
      <c r="E303" s="43">
        <v>179387000</v>
      </c>
      <c r="F303" s="43">
        <f>C303-G303</f>
        <v>2613000</v>
      </c>
      <c r="G303" s="43">
        <v>179387000</v>
      </c>
      <c r="H303" s="44">
        <v>100</v>
      </c>
      <c r="I303" s="28"/>
      <c r="J303" s="29"/>
      <c r="K303" s="30"/>
      <c r="L303" s="31"/>
    </row>
    <row r="304" spans="1:12" ht="17.25" thickBot="1" x14ac:dyDescent="0.3">
      <c r="A304" s="42"/>
      <c r="B304" s="42" t="s">
        <v>349</v>
      </c>
      <c r="C304" s="43">
        <v>182000000</v>
      </c>
      <c r="D304" s="42" t="s">
        <v>89</v>
      </c>
      <c r="E304" s="43">
        <v>179588000</v>
      </c>
      <c r="F304" s="43">
        <f>C304-G304</f>
        <v>2412000</v>
      </c>
      <c r="G304" s="43">
        <v>179588000</v>
      </c>
      <c r="H304" s="44">
        <v>100</v>
      </c>
      <c r="I304" s="28"/>
      <c r="J304" s="29"/>
      <c r="K304" s="30"/>
      <c r="L304" s="31"/>
    </row>
    <row r="305" spans="1:12" ht="17.25" thickBot="1" x14ac:dyDescent="0.3">
      <c r="A305" s="42"/>
      <c r="B305" s="42" t="s">
        <v>350</v>
      </c>
      <c r="C305" s="43">
        <v>182000000</v>
      </c>
      <c r="D305" s="42" t="s">
        <v>89</v>
      </c>
      <c r="E305" s="43">
        <v>179721000</v>
      </c>
      <c r="F305" s="43">
        <f>C305-G305</f>
        <v>2279000</v>
      </c>
      <c r="G305" s="43">
        <v>179721000</v>
      </c>
      <c r="H305" s="44">
        <v>100</v>
      </c>
      <c r="I305" s="28"/>
      <c r="J305" s="29"/>
      <c r="K305" s="30"/>
      <c r="L305" s="31"/>
    </row>
    <row r="306" spans="1:12" ht="17.25" thickBot="1" x14ac:dyDescent="0.3">
      <c r="A306" s="42"/>
      <c r="B306" s="42" t="s">
        <v>351</v>
      </c>
      <c r="C306" s="43">
        <v>182000000</v>
      </c>
      <c r="D306" s="42" t="s">
        <v>89</v>
      </c>
      <c r="E306" s="43">
        <v>179717000</v>
      </c>
      <c r="F306" s="43">
        <f>C306-G306</f>
        <v>2283000</v>
      </c>
      <c r="G306" s="43">
        <v>179717000</v>
      </c>
      <c r="H306" s="44">
        <v>100</v>
      </c>
      <c r="I306" s="28"/>
      <c r="J306" s="29"/>
      <c r="K306" s="30"/>
      <c r="L306" s="31"/>
    </row>
    <row r="307" spans="1:12" ht="17.25" thickBot="1" x14ac:dyDescent="0.3">
      <c r="A307" s="42"/>
      <c r="B307" s="42" t="s">
        <v>352</v>
      </c>
      <c r="C307" s="43">
        <v>195000000</v>
      </c>
      <c r="D307" s="42" t="s">
        <v>89</v>
      </c>
      <c r="E307" s="43">
        <v>192539000</v>
      </c>
      <c r="F307" s="43">
        <f>C307-G307</f>
        <v>2461000</v>
      </c>
      <c r="G307" s="43">
        <v>192539000</v>
      </c>
      <c r="H307" s="44">
        <v>100</v>
      </c>
      <c r="I307" s="28"/>
      <c r="J307" s="29"/>
      <c r="K307" s="30"/>
      <c r="L307" s="31"/>
    </row>
    <row r="308" spans="1:12" ht="17.25" thickBot="1" x14ac:dyDescent="0.3">
      <c r="A308" s="42"/>
      <c r="B308" s="42" t="s">
        <v>353</v>
      </c>
      <c r="C308" s="43">
        <v>182000000</v>
      </c>
      <c r="D308" s="42" t="s">
        <v>89</v>
      </c>
      <c r="E308" s="43">
        <v>179892000</v>
      </c>
      <c r="F308" s="43">
        <f>C308-G308</f>
        <v>2108000</v>
      </c>
      <c r="G308" s="43">
        <v>179892000</v>
      </c>
      <c r="H308" s="44">
        <v>100</v>
      </c>
      <c r="I308" s="28"/>
      <c r="J308" s="29"/>
      <c r="K308" s="30"/>
      <c r="L308" s="31"/>
    </row>
    <row r="309" spans="1:12" ht="17.25" thickBot="1" x14ac:dyDescent="0.3">
      <c r="A309" s="42"/>
      <c r="B309" s="42" t="s">
        <v>354</v>
      </c>
      <c r="C309" s="43">
        <v>182000000</v>
      </c>
      <c r="D309" s="42" t="s">
        <v>89</v>
      </c>
      <c r="E309" s="43">
        <v>179527000</v>
      </c>
      <c r="F309" s="43">
        <f>C309-G309</f>
        <v>2473000</v>
      </c>
      <c r="G309" s="43">
        <v>179527000</v>
      </c>
      <c r="H309" s="44">
        <v>100</v>
      </c>
      <c r="I309" s="28"/>
      <c r="J309" s="29"/>
      <c r="K309" s="30"/>
      <c r="L309" s="31"/>
    </row>
    <row r="310" spans="1:12" ht="17.25" thickBot="1" x14ac:dyDescent="0.3">
      <c r="A310" s="42"/>
      <c r="B310" s="42" t="s">
        <v>355</v>
      </c>
      <c r="C310" s="43">
        <v>182000000</v>
      </c>
      <c r="D310" s="42" t="s">
        <v>89</v>
      </c>
      <c r="E310" s="43">
        <v>179540000</v>
      </c>
      <c r="F310" s="43">
        <f>C310-G310</f>
        <v>2460000</v>
      </c>
      <c r="G310" s="43">
        <v>179540000</v>
      </c>
      <c r="H310" s="44">
        <v>100</v>
      </c>
      <c r="I310" s="28"/>
      <c r="J310" s="29"/>
      <c r="K310" s="30"/>
      <c r="L310" s="31"/>
    </row>
    <row r="311" spans="1:12" ht="17.25" thickBot="1" x14ac:dyDescent="0.3">
      <c r="A311" s="42"/>
      <c r="B311" s="42" t="s">
        <v>356</v>
      </c>
      <c r="C311" s="43">
        <v>195000000</v>
      </c>
      <c r="D311" s="42" t="s">
        <v>89</v>
      </c>
      <c r="E311" s="43">
        <v>192547000</v>
      </c>
      <c r="F311" s="43">
        <f>C311-G311</f>
        <v>2453000</v>
      </c>
      <c r="G311" s="43">
        <v>192547000</v>
      </c>
      <c r="H311" s="44">
        <v>100</v>
      </c>
      <c r="I311" s="28"/>
      <c r="J311" s="29"/>
      <c r="K311" s="30"/>
      <c r="L311" s="31"/>
    </row>
    <row r="312" spans="1:12" ht="17.25" thickBot="1" x14ac:dyDescent="0.3">
      <c r="A312" s="42"/>
      <c r="B312" s="42" t="s">
        <v>357</v>
      </c>
      <c r="C312" s="43">
        <v>147000000</v>
      </c>
      <c r="D312" s="42" t="s">
        <v>89</v>
      </c>
      <c r="E312" s="43">
        <v>143496000</v>
      </c>
      <c r="F312" s="43">
        <f>C312-G312</f>
        <v>3504000</v>
      </c>
      <c r="G312" s="43">
        <v>143496000</v>
      </c>
      <c r="H312" s="44">
        <v>100</v>
      </c>
      <c r="I312" s="28"/>
      <c r="J312" s="29"/>
      <c r="K312" s="30"/>
      <c r="L312" s="31"/>
    </row>
    <row r="313" spans="1:12" ht="17.25" thickBot="1" x14ac:dyDescent="0.3">
      <c r="A313" s="42"/>
      <c r="B313" s="42" t="s">
        <v>358</v>
      </c>
      <c r="C313" s="43">
        <v>182000000</v>
      </c>
      <c r="D313" s="42" t="s">
        <v>89</v>
      </c>
      <c r="E313" s="43">
        <v>179881000</v>
      </c>
      <c r="F313" s="43">
        <f>C313-G313</f>
        <v>2119000</v>
      </c>
      <c r="G313" s="43">
        <v>179881000</v>
      </c>
      <c r="H313" s="44">
        <v>100</v>
      </c>
      <c r="I313" s="28"/>
      <c r="J313" s="29"/>
      <c r="K313" s="30"/>
      <c r="L313" s="31"/>
    </row>
    <row r="314" spans="1:12" ht="17.25" thickBot="1" x14ac:dyDescent="0.3">
      <c r="A314" s="42"/>
      <c r="B314" s="42" t="s">
        <v>359</v>
      </c>
      <c r="C314" s="43">
        <v>182000000</v>
      </c>
      <c r="D314" s="42" t="s">
        <v>89</v>
      </c>
      <c r="E314" s="43">
        <v>179620000</v>
      </c>
      <c r="F314" s="43">
        <f>C314-G314</f>
        <v>2380000</v>
      </c>
      <c r="G314" s="43">
        <v>179620000</v>
      </c>
      <c r="H314" s="44">
        <v>100</v>
      </c>
      <c r="I314" s="28"/>
      <c r="J314" s="29"/>
      <c r="K314" s="30"/>
      <c r="L314" s="31"/>
    </row>
    <row r="315" spans="1:12" ht="17.25" thickBot="1" x14ac:dyDescent="0.3">
      <c r="A315" s="42"/>
      <c r="B315" s="42" t="s">
        <v>360</v>
      </c>
      <c r="C315" s="43">
        <v>182000000</v>
      </c>
      <c r="D315" s="42" t="s">
        <v>89</v>
      </c>
      <c r="E315" s="43">
        <v>179374000</v>
      </c>
      <c r="F315" s="43">
        <f>C315-G315</f>
        <v>2626000</v>
      </c>
      <c r="G315" s="43">
        <v>179374000</v>
      </c>
      <c r="H315" s="44">
        <v>100</v>
      </c>
      <c r="I315" s="28"/>
      <c r="J315" s="29"/>
      <c r="K315" s="30"/>
      <c r="L315" s="31"/>
    </row>
    <row r="316" spans="1:12" ht="17.25" thickBot="1" x14ac:dyDescent="0.3">
      <c r="A316" s="42"/>
      <c r="B316" s="42" t="s">
        <v>361</v>
      </c>
      <c r="C316" s="43">
        <v>182000000</v>
      </c>
      <c r="D316" s="42" t="s">
        <v>89</v>
      </c>
      <c r="E316" s="43">
        <v>179604000</v>
      </c>
      <c r="F316" s="43">
        <f>C316-G316</f>
        <v>2396000</v>
      </c>
      <c r="G316" s="43">
        <v>179604000</v>
      </c>
      <c r="H316" s="44">
        <v>100</v>
      </c>
      <c r="I316" s="28"/>
      <c r="J316" s="29"/>
      <c r="K316" s="30"/>
      <c r="L316" s="31"/>
    </row>
    <row r="317" spans="1:12" ht="17.25" thickBot="1" x14ac:dyDescent="0.3">
      <c r="A317" s="42"/>
      <c r="B317" s="42" t="s">
        <v>362</v>
      </c>
      <c r="C317" s="43">
        <v>182000000</v>
      </c>
      <c r="D317" s="42" t="s">
        <v>89</v>
      </c>
      <c r="E317" s="43">
        <v>179755000</v>
      </c>
      <c r="F317" s="43">
        <f>C317-G317</f>
        <v>2245000</v>
      </c>
      <c r="G317" s="43">
        <v>179755000</v>
      </c>
      <c r="H317" s="44">
        <v>100</v>
      </c>
      <c r="I317" s="28"/>
      <c r="J317" s="29"/>
      <c r="K317" s="30"/>
      <c r="L317" s="31"/>
    </row>
    <row r="318" spans="1:12" ht="17.25" thickBot="1" x14ac:dyDescent="0.3">
      <c r="A318" s="42"/>
      <c r="B318" s="42" t="s">
        <v>363</v>
      </c>
      <c r="C318" s="43">
        <v>195000000</v>
      </c>
      <c r="D318" s="42" t="s">
        <v>89</v>
      </c>
      <c r="E318" s="43">
        <v>192885000</v>
      </c>
      <c r="F318" s="43">
        <f>C318-G318</f>
        <v>2115000</v>
      </c>
      <c r="G318" s="43">
        <v>192885000</v>
      </c>
      <c r="H318" s="44">
        <v>100</v>
      </c>
      <c r="I318" s="28"/>
      <c r="J318" s="29"/>
      <c r="K318" s="30"/>
      <c r="L318" s="31"/>
    </row>
    <row r="319" spans="1:12" ht="17.25" thickBot="1" x14ac:dyDescent="0.3">
      <c r="A319" s="42"/>
      <c r="B319" s="42" t="s">
        <v>364</v>
      </c>
      <c r="C319" s="43">
        <v>195000000</v>
      </c>
      <c r="D319" s="42" t="s">
        <v>89</v>
      </c>
      <c r="E319" s="43">
        <v>192617000</v>
      </c>
      <c r="F319" s="43">
        <f>C319-G319</f>
        <v>2383000</v>
      </c>
      <c r="G319" s="43">
        <f>192617000</f>
        <v>192617000</v>
      </c>
      <c r="H319" s="44">
        <v>100</v>
      </c>
      <c r="I319" s="28"/>
      <c r="J319" s="29"/>
      <c r="K319" s="30"/>
      <c r="L319" s="31"/>
    </row>
    <row r="320" spans="1:12" ht="17.25" thickBot="1" x14ac:dyDescent="0.3">
      <c r="A320" s="42"/>
      <c r="B320" s="42" t="s">
        <v>365</v>
      </c>
      <c r="C320" s="43">
        <v>195000000</v>
      </c>
      <c r="D320" s="42" t="s">
        <v>89</v>
      </c>
      <c r="E320" s="43">
        <v>192621000</v>
      </c>
      <c r="F320" s="43">
        <f>C320-G320</f>
        <v>2379000</v>
      </c>
      <c r="G320" s="43">
        <v>192621000</v>
      </c>
      <c r="H320" s="44">
        <v>100</v>
      </c>
      <c r="I320" s="28"/>
      <c r="J320" s="29"/>
      <c r="K320" s="30"/>
      <c r="L320" s="31"/>
    </row>
    <row r="321" spans="1:12" ht="17.25" thickBot="1" x14ac:dyDescent="0.3">
      <c r="A321" s="42"/>
      <c r="B321" s="42" t="s">
        <v>366</v>
      </c>
      <c r="C321" s="43">
        <v>195000000</v>
      </c>
      <c r="D321" s="42" t="s">
        <v>89</v>
      </c>
      <c r="E321" s="43">
        <v>192649000</v>
      </c>
      <c r="F321" s="43">
        <f>C321-G321</f>
        <v>2351000</v>
      </c>
      <c r="G321" s="43">
        <v>192649000</v>
      </c>
      <c r="H321" s="44">
        <v>100</v>
      </c>
      <c r="I321" s="28"/>
      <c r="J321" s="29"/>
      <c r="K321" s="30"/>
      <c r="L321" s="31"/>
    </row>
    <row r="322" spans="1:12" ht="17.25" thickBot="1" x14ac:dyDescent="0.3">
      <c r="A322" s="42"/>
      <c r="B322" s="42" t="s">
        <v>367</v>
      </c>
      <c r="C322" s="43">
        <v>182000000</v>
      </c>
      <c r="D322" s="42" t="s">
        <v>89</v>
      </c>
      <c r="E322" s="43">
        <v>179503000</v>
      </c>
      <c r="F322" s="43">
        <f>C322-G322</f>
        <v>2497000</v>
      </c>
      <c r="G322" s="43">
        <v>179503000</v>
      </c>
      <c r="H322" s="44">
        <v>100</v>
      </c>
      <c r="I322" s="28"/>
      <c r="J322" s="29"/>
      <c r="K322" s="30"/>
      <c r="L322" s="31"/>
    </row>
    <row r="323" spans="1:12" ht="17.25" thickBot="1" x14ac:dyDescent="0.3">
      <c r="A323" s="42"/>
      <c r="B323" s="42" t="s">
        <v>368</v>
      </c>
      <c r="C323" s="43">
        <v>182000000</v>
      </c>
      <c r="D323" s="42" t="s">
        <v>89</v>
      </c>
      <c r="E323" s="43">
        <v>179503000</v>
      </c>
      <c r="F323" s="43">
        <f>C323-G323</f>
        <v>2497000</v>
      </c>
      <c r="G323" s="43">
        <v>179503000</v>
      </c>
      <c r="H323" s="44">
        <v>100</v>
      </c>
      <c r="I323" s="28"/>
      <c r="J323" s="29"/>
      <c r="K323" s="30"/>
      <c r="L323" s="31"/>
    </row>
    <row r="324" spans="1:12" ht="17.25" thickBot="1" x14ac:dyDescent="0.3">
      <c r="A324" s="42"/>
      <c r="B324" s="42" t="s">
        <v>369</v>
      </c>
      <c r="C324" s="43">
        <v>182000000</v>
      </c>
      <c r="D324" s="42" t="s">
        <v>89</v>
      </c>
      <c r="E324" s="43">
        <v>179410000</v>
      </c>
      <c r="F324" s="43">
        <f>C324-G324</f>
        <v>2590000</v>
      </c>
      <c r="G324" s="43">
        <v>179410000</v>
      </c>
      <c r="H324" s="44">
        <v>100</v>
      </c>
      <c r="I324" s="28"/>
      <c r="J324" s="29"/>
      <c r="K324" s="30"/>
      <c r="L324" s="31"/>
    </row>
    <row r="325" spans="1:12" ht="17.25" thickBot="1" x14ac:dyDescent="0.3">
      <c r="A325" s="42"/>
      <c r="B325" s="42" t="s">
        <v>370</v>
      </c>
      <c r="C325" s="43">
        <v>147000000</v>
      </c>
      <c r="D325" s="42" t="s">
        <v>89</v>
      </c>
      <c r="E325" s="43">
        <v>145010000</v>
      </c>
      <c r="F325" s="43">
        <f>C325-G325</f>
        <v>1990000</v>
      </c>
      <c r="G325" s="43">
        <v>145010000</v>
      </c>
      <c r="H325" s="44">
        <v>100</v>
      </c>
      <c r="I325" s="28"/>
      <c r="J325" s="29"/>
      <c r="K325" s="30"/>
      <c r="L325" s="31"/>
    </row>
    <row r="326" spans="1:12" ht="17.25" thickBot="1" x14ac:dyDescent="0.3">
      <c r="A326" s="42"/>
      <c r="B326" s="42" t="s">
        <v>371</v>
      </c>
      <c r="C326" s="43">
        <v>100000000</v>
      </c>
      <c r="D326" s="42" t="s">
        <v>89</v>
      </c>
      <c r="E326" s="43">
        <v>98430000</v>
      </c>
      <c r="F326" s="43">
        <f>C326-G326</f>
        <v>1570000</v>
      </c>
      <c r="G326" s="43">
        <v>98430000</v>
      </c>
      <c r="H326" s="44">
        <v>100</v>
      </c>
      <c r="I326" s="28"/>
      <c r="J326" s="29"/>
      <c r="K326" s="30"/>
      <c r="L326" s="31"/>
    </row>
    <row r="327" spans="1:12" ht="17.25" thickBot="1" x14ac:dyDescent="0.3">
      <c r="A327" s="42"/>
      <c r="B327" s="42" t="s">
        <v>372</v>
      </c>
      <c r="C327" s="43">
        <v>182000000</v>
      </c>
      <c r="D327" s="42" t="s">
        <v>89</v>
      </c>
      <c r="E327" s="43">
        <v>179474000</v>
      </c>
      <c r="F327" s="43">
        <f>C327-G327</f>
        <v>2526000</v>
      </c>
      <c r="G327" s="43">
        <v>179474000</v>
      </c>
      <c r="H327" s="44">
        <v>100</v>
      </c>
      <c r="I327" s="28"/>
      <c r="J327" s="29"/>
      <c r="K327" s="30"/>
      <c r="L327" s="31"/>
    </row>
    <row r="328" spans="1:12" ht="17.25" thickBot="1" x14ac:dyDescent="0.3">
      <c r="A328" s="42"/>
      <c r="B328" s="42" t="s">
        <v>373</v>
      </c>
      <c r="C328" s="43">
        <v>182000000</v>
      </c>
      <c r="D328" s="42" t="s">
        <v>89</v>
      </c>
      <c r="E328" s="43">
        <v>179260000</v>
      </c>
      <c r="F328" s="43">
        <f>C328-G328</f>
        <v>2740000</v>
      </c>
      <c r="G328" s="43">
        <f>179260000</f>
        <v>179260000</v>
      </c>
      <c r="H328" s="44">
        <v>100</v>
      </c>
      <c r="I328" s="28"/>
      <c r="J328" s="29"/>
      <c r="K328" s="30"/>
      <c r="L328" s="31"/>
    </row>
    <row r="329" spans="1:12" ht="17.25" thickBot="1" x14ac:dyDescent="0.3">
      <c r="A329" s="42"/>
      <c r="B329" s="42" t="s">
        <v>374</v>
      </c>
      <c r="C329" s="43">
        <v>182000000</v>
      </c>
      <c r="D329" s="42" t="s">
        <v>89</v>
      </c>
      <c r="E329" s="43">
        <v>179396000</v>
      </c>
      <c r="F329" s="43">
        <f>C329-G329</f>
        <v>2604000</v>
      </c>
      <c r="G329" s="43">
        <v>179396000</v>
      </c>
      <c r="H329" s="44">
        <v>100</v>
      </c>
      <c r="I329" s="28"/>
      <c r="J329" s="29"/>
      <c r="K329" s="30"/>
      <c r="L329" s="31"/>
    </row>
    <row r="330" spans="1:12" ht="17.25" thickBot="1" x14ac:dyDescent="0.3">
      <c r="A330" s="42"/>
      <c r="B330" s="42" t="s">
        <v>375</v>
      </c>
      <c r="C330" s="43">
        <v>182000000</v>
      </c>
      <c r="D330" s="42" t="s">
        <v>89</v>
      </c>
      <c r="E330" s="43">
        <v>179236000</v>
      </c>
      <c r="F330" s="43">
        <f>C330-G330</f>
        <v>2764000</v>
      </c>
      <c r="G330" s="43">
        <v>179236000</v>
      </c>
      <c r="H330" s="44">
        <v>100</v>
      </c>
      <c r="I330" s="28"/>
      <c r="J330" s="29"/>
      <c r="K330" s="30"/>
      <c r="L330" s="31"/>
    </row>
    <row r="331" spans="1:12" ht="17.25" thickBot="1" x14ac:dyDescent="0.3">
      <c r="A331" s="42"/>
      <c r="B331" s="42" t="s">
        <v>376</v>
      </c>
      <c r="C331" s="43">
        <v>180855000</v>
      </c>
      <c r="D331" s="42" t="s">
        <v>19</v>
      </c>
      <c r="E331" s="43">
        <v>0</v>
      </c>
      <c r="F331" s="43">
        <f>C331-G331</f>
        <v>19806100</v>
      </c>
      <c r="G331" s="43">
        <v>161048900</v>
      </c>
      <c r="H331" s="44">
        <f>G331/C331*100</f>
        <v>89.048630118050369</v>
      </c>
      <c r="I331" s="28"/>
      <c r="J331" s="29"/>
      <c r="K331" s="30"/>
      <c r="L331" s="31"/>
    </row>
    <row r="332" spans="1:12" ht="17.25" thickBot="1" x14ac:dyDescent="0.3">
      <c r="A332" s="42"/>
      <c r="B332" s="42" t="s">
        <v>377</v>
      </c>
      <c r="C332" s="43">
        <v>200000000</v>
      </c>
      <c r="D332" s="42" t="s">
        <v>89</v>
      </c>
      <c r="E332" s="43">
        <v>197469000</v>
      </c>
      <c r="F332" s="43">
        <f>C332-G332</f>
        <v>2531000</v>
      </c>
      <c r="G332" s="43">
        <v>197469000</v>
      </c>
      <c r="H332" s="44">
        <v>100</v>
      </c>
      <c r="I332" s="28"/>
      <c r="J332" s="29"/>
      <c r="K332" s="30"/>
      <c r="L332" s="31"/>
    </row>
    <row r="333" spans="1:12" ht="17.25" thickBot="1" x14ac:dyDescent="0.3">
      <c r="A333" s="37" t="s">
        <v>378</v>
      </c>
      <c r="B333" s="37" t="s">
        <v>379</v>
      </c>
      <c r="C333" s="38">
        <v>50000000</v>
      </c>
      <c r="D333" s="39"/>
      <c r="E333" s="40"/>
      <c r="F333" s="38">
        <f>C333-G333</f>
        <v>830000</v>
      </c>
      <c r="G333" s="38">
        <f>SUM(G334)</f>
        <v>49170000</v>
      </c>
      <c r="H333" s="45">
        <f>AVERAGE(H334)</f>
        <v>100</v>
      </c>
      <c r="I333" s="28"/>
      <c r="J333" s="29"/>
      <c r="K333" s="30"/>
      <c r="L333" s="31"/>
    </row>
    <row r="334" spans="1:12" ht="27.75" thickBot="1" x14ac:dyDescent="0.3">
      <c r="A334" s="42"/>
      <c r="B334" s="42" t="s">
        <v>380</v>
      </c>
      <c r="C334" s="43">
        <v>50000000</v>
      </c>
      <c r="D334" s="42" t="s">
        <v>194</v>
      </c>
      <c r="E334" s="43">
        <v>49170000</v>
      </c>
      <c r="F334" s="43">
        <f>C334-G334</f>
        <v>830000</v>
      </c>
      <c r="G334" s="43">
        <v>49170000</v>
      </c>
      <c r="H334" s="44">
        <v>100</v>
      </c>
      <c r="I334" s="28"/>
      <c r="J334" s="29"/>
      <c r="K334" s="30"/>
      <c r="L334" s="31"/>
    </row>
    <row r="335" spans="1:12" ht="17.25" thickBot="1" x14ac:dyDescent="0.3">
      <c r="A335" s="23" t="s">
        <v>381</v>
      </c>
      <c r="B335" s="24" t="s">
        <v>382</v>
      </c>
      <c r="C335" s="25">
        <f>SUM(C336)</f>
        <v>11534454558</v>
      </c>
      <c r="D335" s="23"/>
      <c r="E335" s="26"/>
      <c r="F335" s="25">
        <f>C335-G335</f>
        <v>204315694</v>
      </c>
      <c r="G335" s="25">
        <f>SUM(G336)</f>
        <v>11330138864</v>
      </c>
      <c r="H335" s="27">
        <f>H336</f>
        <v>98.228648845312833</v>
      </c>
      <c r="I335" s="28"/>
      <c r="J335" s="29"/>
      <c r="K335" s="30"/>
      <c r="L335" s="31"/>
    </row>
    <row r="336" spans="1:12" ht="27.75" thickBot="1" x14ac:dyDescent="0.3">
      <c r="A336" s="32" t="s">
        <v>383</v>
      </c>
      <c r="B336" s="32" t="s">
        <v>384</v>
      </c>
      <c r="C336" s="33">
        <f>SUM(C337,C339,C343,C388)</f>
        <v>11534454558</v>
      </c>
      <c r="D336" s="34"/>
      <c r="E336" s="35"/>
      <c r="F336" s="33">
        <f>C336-G336</f>
        <v>204315694</v>
      </c>
      <c r="G336" s="33">
        <f>SUM(G337,G339,G343,G388)</f>
        <v>11330138864</v>
      </c>
      <c r="H336" s="36">
        <f>AVERAGE(G336/C336*100)</f>
        <v>98.228648845312833</v>
      </c>
      <c r="I336" s="28"/>
      <c r="J336" s="29"/>
      <c r="K336" s="30"/>
      <c r="L336" s="31"/>
    </row>
    <row r="337" spans="1:12" ht="17.25" thickBot="1" x14ac:dyDescent="0.3">
      <c r="A337" s="37" t="s">
        <v>385</v>
      </c>
      <c r="B337" s="37" t="s">
        <v>386</v>
      </c>
      <c r="C337" s="38">
        <v>50000000</v>
      </c>
      <c r="D337" s="39"/>
      <c r="E337" s="40"/>
      <c r="F337" s="38">
        <f>C337-G337</f>
        <v>9564502</v>
      </c>
      <c r="G337" s="38">
        <f>SUM(G338)</f>
        <v>40435498</v>
      </c>
      <c r="H337" s="41">
        <f>G337/C337*100</f>
        <v>80.870995999999991</v>
      </c>
      <c r="I337" s="28"/>
      <c r="J337" s="29"/>
      <c r="K337" s="30"/>
      <c r="L337" s="31"/>
    </row>
    <row r="338" spans="1:12" ht="17.25" thickBot="1" x14ac:dyDescent="0.3">
      <c r="A338" s="42"/>
      <c r="B338" s="42" t="s">
        <v>18</v>
      </c>
      <c r="C338" s="43">
        <v>50000000</v>
      </c>
      <c r="D338" s="42" t="s">
        <v>19</v>
      </c>
      <c r="E338" s="43">
        <v>0</v>
      </c>
      <c r="F338" s="43">
        <f>C338-G338</f>
        <v>9564502</v>
      </c>
      <c r="G338" s="43">
        <v>40435498</v>
      </c>
      <c r="H338" s="44">
        <f>G338/C338*100</f>
        <v>80.870995999999991</v>
      </c>
      <c r="I338" s="28"/>
      <c r="J338" s="29"/>
      <c r="K338" s="30"/>
      <c r="L338" s="31"/>
    </row>
    <row r="339" spans="1:12" ht="27.75" thickBot="1" x14ac:dyDescent="0.3">
      <c r="A339" s="37" t="s">
        <v>387</v>
      </c>
      <c r="B339" s="37" t="s">
        <v>388</v>
      </c>
      <c r="C339" s="38">
        <v>116400000</v>
      </c>
      <c r="D339" s="39"/>
      <c r="E339" s="40"/>
      <c r="F339" s="38">
        <f>C339-G339</f>
        <v>14027413</v>
      </c>
      <c r="G339" s="38">
        <f>SUM(G340:G342)</f>
        <v>102372587</v>
      </c>
      <c r="H339" s="45">
        <f>AVERAGE(H340:H342)</f>
        <v>92.101681869369372</v>
      </c>
      <c r="I339" s="28"/>
      <c r="J339" s="29"/>
      <c r="K339" s="30"/>
      <c r="L339" s="31"/>
    </row>
    <row r="340" spans="1:12" ht="17.25" thickBot="1" x14ac:dyDescent="0.3">
      <c r="A340" s="42"/>
      <c r="B340" s="42" t="s">
        <v>71</v>
      </c>
      <c r="C340" s="43">
        <v>28600000</v>
      </c>
      <c r="D340" s="42" t="s">
        <v>72</v>
      </c>
      <c r="E340" s="43">
        <v>28600000</v>
      </c>
      <c r="F340" s="43">
        <f>C340-G340</f>
        <v>0</v>
      </c>
      <c r="G340" s="43">
        <f>17600000+2200000+4400000+2200000+2200000</f>
        <v>28600000</v>
      </c>
      <c r="H340" s="44">
        <v>100</v>
      </c>
      <c r="I340" s="28"/>
      <c r="J340" s="29"/>
      <c r="K340" s="30"/>
      <c r="L340" s="31"/>
    </row>
    <row r="341" spans="1:12" ht="17.25" thickBot="1" x14ac:dyDescent="0.3">
      <c r="A341" s="42"/>
      <c r="B341" s="42" t="s">
        <v>73</v>
      </c>
      <c r="C341" s="43">
        <v>59200000</v>
      </c>
      <c r="D341" s="42" t="s">
        <v>19</v>
      </c>
      <c r="E341" s="43">
        <v>0</v>
      </c>
      <c r="F341" s="43">
        <f>C341-G341</f>
        <v>14027413</v>
      </c>
      <c r="G341" s="43">
        <f>4400000+1350000+1831300-553900+19021750+13328437+10195000-4400000</f>
        <v>45172587</v>
      </c>
      <c r="H341" s="44">
        <f>G341/C341*100</f>
        <v>76.305045608108117</v>
      </c>
      <c r="I341" s="28"/>
      <c r="J341" s="29"/>
      <c r="K341" s="30"/>
      <c r="L341" s="31"/>
    </row>
    <row r="342" spans="1:12" ht="17.25" thickBot="1" x14ac:dyDescent="0.3">
      <c r="A342" s="42"/>
      <c r="B342" s="42" t="s">
        <v>389</v>
      </c>
      <c r="C342" s="43">
        <v>28600000</v>
      </c>
      <c r="D342" s="42" t="s">
        <v>72</v>
      </c>
      <c r="E342" s="43">
        <v>28600000</v>
      </c>
      <c r="F342" s="43">
        <f>C342-G342</f>
        <v>0</v>
      </c>
      <c r="G342" s="43">
        <f>17600000+2200000+4400000+2200000+2200000</f>
        <v>28600000</v>
      </c>
      <c r="H342" s="44">
        <v>100</v>
      </c>
      <c r="I342" s="28"/>
      <c r="J342" s="29"/>
      <c r="K342" s="30"/>
      <c r="L342" s="31"/>
    </row>
    <row r="343" spans="1:12" ht="27.75" thickBot="1" x14ac:dyDescent="0.3">
      <c r="A343" s="37" t="s">
        <v>390</v>
      </c>
      <c r="B343" s="37" t="s">
        <v>391</v>
      </c>
      <c r="C343" s="38">
        <f>SUM(C344:C387)</f>
        <v>10984854558</v>
      </c>
      <c r="D343" s="39"/>
      <c r="E343" s="40"/>
      <c r="F343" s="38">
        <f>C343-G343</f>
        <v>74653115</v>
      </c>
      <c r="G343" s="38">
        <f>SUM(G344:G387)</f>
        <v>10910201443</v>
      </c>
      <c r="H343" s="45">
        <f>AVERAGE(H346:H349,H351,H354:H387)</f>
        <v>99.408903676574596</v>
      </c>
      <c r="I343" s="28"/>
      <c r="J343" s="29"/>
      <c r="K343" s="30"/>
      <c r="L343" s="31"/>
    </row>
    <row r="344" spans="1:12" ht="17.25" thickBot="1" x14ac:dyDescent="0.3">
      <c r="A344" s="42"/>
      <c r="B344" s="42" t="s">
        <v>392</v>
      </c>
      <c r="C344" s="43">
        <v>78428500</v>
      </c>
      <c r="D344" s="42" t="s">
        <v>72</v>
      </c>
      <c r="E344" s="43">
        <v>0</v>
      </c>
      <c r="F344" s="43">
        <f>C344-G344</f>
        <v>0</v>
      </c>
      <c r="G344" s="43">
        <v>78428500</v>
      </c>
      <c r="H344" s="44">
        <f>G344/C344*100</f>
        <v>100</v>
      </c>
      <c r="I344" s="28"/>
      <c r="J344" s="29"/>
      <c r="K344" s="30"/>
      <c r="L344" s="31"/>
    </row>
    <row r="345" spans="1:12" ht="17.25" thickBot="1" x14ac:dyDescent="0.3">
      <c r="A345" s="42"/>
      <c r="B345" s="42" t="s">
        <v>393</v>
      </c>
      <c r="C345" s="43">
        <v>6500000</v>
      </c>
      <c r="D345" s="42" t="s">
        <v>72</v>
      </c>
      <c r="E345" s="43">
        <v>0</v>
      </c>
      <c r="F345" s="43">
        <f>C345-G345</f>
        <v>3350000</v>
      </c>
      <c r="G345" s="43">
        <v>3150000</v>
      </c>
      <c r="H345" s="44">
        <f>G345/C345*100</f>
        <v>48.46153846153846</v>
      </c>
      <c r="I345" s="28"/>
      <c r="J345" s="29"/>
      <c r="K345" s="30"/>
      <c r="L345" s="31"/>
    </row>
    <row r="346" spans="1:12" ht="17.25" thickBot="1" x14ac:dyDescent="0.3">
      <c r="A346" s="42"/>
      <c r="B346" s="42" t="s">
        <v>52</v>
      </c>
      <c r="C346" s="43">
        <v>111758500</v>
      </c>
      <c r="D346" s="42" t="s">
        <v>19</v>
      </c>
      <c r="E346" s="43">
        <v>0</v>
      </c>
      <c r="F346" s="43">
        <f>C346-G346</f>
        <v>25763415</v>
      </c>
      <c r="G346" s="43">
        <v>85995085</v>
      </c>
      <c r="H346" s="44">
        <f>G346/C346*100</f>
        <v>76.947243386409099</v>
      </c>
      <c r="I346" s="28"/>
      <c r="J346" s="29"/>
      <c r="K346" s="30"/>
      <c r="L346" s="31"/>
    </row>
    <row r="347" spans="1:12" ht="17.25" thickBot="1" x14ac:dyDescent="0.3">
      <c r="A347" s="42"/>
      <c r="B347" s="42" t="s">
        <v>394</v>
      </c>
      <c r="C347" s="43">
        <v>1780000000</v>
      </c>
      <c r="D347" s="42" t="s">
        <v>89</v>
      </c>
      <c r="E347" s="43">
        <v>1780000000</v>
      </c>
      <c r="F347" s="43">
        <f>C347-G347</f>
        <v>0</v>
      </c>
      <c r="G347" s="43">
        <v>1780000000</v>
      </c>
      <c r="H347" s="44">
        <v>100</v>
      </c>
      <c r="I347" s="28"/>
      <c r="J347" s="29"/>
      <c r="K347" s="30"/>
      <c r="L347" s="31"/>
    </row>
    <row r="348" spans="1:12" ht="17.25" thickBot="1" x14ac:dyDescent="0.3">
      <c r="A348" s="42"/>
      <c r="B348" s="42" t="s">
        <v>395</v>
      </c>
      <c r="C348" s="43">
        <v>1810000000</v>
      </c>
      <c r="D348" s="42" t="s">
        <v>89</v>
      </c>
      <c r="E348" s="43">
        <v>1787637000</v>
      </c>
      <c r="F348" s="43">
        <f>C348-G348</f>
        <v>22363000</v>
      </c>
      <c r="G348" s="43">
        <v>1787637000</v>
      </c>
      <c r="H348" s="44">
        <v>100</v>
      </c>
      <c r="I348" s="28"/>
      <c r="J348" s="29"/>
      <c r="K348" s="30"/>
      <c r="L348" s="31"/>
    </row>
    <row r="349" spans="1:12" ht="27.75" thickBot="1" x14ac:dyDescent="0.3">
      <c r="A349" s="42"/>
      <c r="B349" s="42" t="s">
        <v>396</v>
      </c>
      <c r="C349" s="43">
        <v>382436000</v>
      </c>
      <c r="D349" s="42" t="s">
        <v>89</v>
      </c>
      <c r="E349" s="43">
        <v>376433000</v>
      </c>
      <c r="F349" s="43">
        <f>C349-G349</f>
        <v>6003000</v>
      </c>
      <c r="G349" s="43">
        <v>376433000</v>
      </c>
      <c r="H349" s="44">
        <v>100</v>
      </c>
      <c r="I349" s="28"/>
      <c r="J349" s="29"/>
      <c r="K349" s="30"/>
      <c r="L349" s="31"/>
    </row>
    <row r="350" spans="1:12" ht="17.25" thickBot="1" x14ac:dyDescent="0.3">
      <c r="A350" s="42"/>
      <c r="B350" s="42" t="s">
        <v>397</v>
      </c>
      <c r="C350" s="43">
        <v>0</v>
      </c>
      <c r="D350" s="42" t="s">
        <v>89</v>
      </c>
      <c r="E350" s="43">
        <v>0</v>
      </c>
      <c r="F350" s="43">
        <f>C350-G350</f>
        <v>0</v>
      </c>
      <c r="G350" s="43">
        <v>0</v>
      </c>
      <c r="H350" s="44">
        <v>0</v>
      </c>
      <c r="I350" s="28"/>
      <c r="J350" s="29"/>
      <c r="K350" s="30"/>
      <c r="L350" s="31"/>
    </row>
    <row r="351" spans="1:12" ht="17.25" thickBot="1" x14ac:dyDescent="0.3">
      <c r="A351" s="42"/>
      <c r="B351" s="42" t="s">
        <v>398</v>
      </c>
      <c r="C351" s="43">
        <v>910000000</v>
      </c>
      <c r="D351" s="42" t="s">
        <v>89</v>
      </c>
      <c r="E351" s="43">
        <v>910000000</v>
      </c>
      <c r="F351" s="43">
        <f>C351-G351</f>
        <v>0</v>
      </c>
      <c r="G351" s="43">
        <v>910000000</v>
      </c>
      <c r="H351" s="44">
        <v>100</v>
      </c>
      <c r="I351" s="28"/>
      <c r="J351" s="29"/>
      <c r="K351" s="30"/>
      <c r="L351" s="31"/>
    </row>
    <row r="352" spans="1:12" ht="27.75" thickBot="1" x14ac:dyDescent="0.3">
      <c r="A352" s="42"/>
      <c r="B352" s="42" t="s">
        <v>399</v>
      </c>
      <c r="C352" s="43">
        <v>0</v>
      </c>
      <c r="D352" s="42" t="s">
        <v>194</v>
      </c>
      <c r="E352" s="43">
        <v>0</v>
      </c>
      <c r="F352" s="43">
        <f>C352-G352</f>
        <v>0</v>
      </c>
      <c r="G352" s="43">
        <v>0</v>
      </c>
      <c r="H352" s="44">
        <v>0</v>
      </c>
      <c r="I352" s="28"/>
      <c r="J352" s="29"/>
      <c r="K352" s="30"/>
      <c r="L352" s="31"/>
    </row>
    <row r="353" spans="1:12" ht="27.75" thickBot="1" x14ac:dyDescent="0.3">
      <c r="A353" s="42"/>
      <c r="B353" s="42" t="s">
        <v>400</v>
      </c>
      <c r="C353" s="43">
        <v>0</v>
      </c>
      <c r="D353" s="42" t="s">
        <v>194</v>
      </c>
      <c r="E353" s="43">
        <v>0</v>
      </c>
      <c r="F353" s="43">
        <f>C353-G353</f>
        <v>0</v>
      </c>
      <c r="G353" s="43">
        <v>0</v>
      </c>
      <c r="H353" s="44">
        <v>0</v>
      </c>
      <c r="I353" s="28"/>
      <c r="J353" s="29"/>
      <c r="K353" s="30"/>
      <c r="L353" s="31"/>
    </row>
    <row r="354" spans="1:12" ht="27.75" thickBot="1" x14ac:dyDescent="0.3">
      <c r="A354" s="42"/>
      <c r="B354" s="42" t="s">
        <v>401</v>
      </c>
      <c r="C354" s="43">
        <v>50000000</v>
      </c>
      <c r="D354" s="42" t="s">
        <v>194</v>
      </c>
      <c r="E354" s="43">
        <v>48951000</v>
      </c>
      <c r="F354" s="43">
        <f>C354-G354</f>
        <v>1049000</v>
      </c>
      <c r="G354" s="43">
        <v>48951000</v>
      </c>
      <c r="H354" s="44">
        <v>100</v>
      </c>
      <c r="I354" s="28"/>
      <c r="J354" s="29"/>
      <c r="K354" s="30"/>
      <c r="L354" s="31"/>
    </row>
    <row r="355" spans="1:12" ht="27.75" thickBot="1" x14ac:dyDescent="0.3">
      <c r="A355" s="42"/>
      <c r="B355" s="42" t="s">
        <v>402</v>
      </c>
      <c r="C355" s="43">
        <v>60000000</v>
      </c>
      <c r="D355" s="42" t="s">
        <v>194</v>
      </c>
      <c r="E355" s="43">
        <v>59274000</v>
      </c>
      <c r="F355" s="43">
        <f>C355-G355</f>
        <v>726000</v>
      </c>
      <c r="G355" s="43">
        <v>59274000</v>
      </c>
      <c r="H355" s="44">
        <v>100</v>
      </c>
      <c r="I355" s="28"/>
      <c r="J355" s="29"/>
      <c r="K355" s="30"/>
      <c r="L355" s="31"/>
    </row>
    <row r="356" spans="1:12" ht="27.75" thickBot="1" x14ac:dyDescent="0.3">
      <c r="A356" s="42"/>
      <c r="B356" s="42" t="s">
        <v>403</v>
      </c>
      <c r="C356" s="43">
        <v>55000000</v>
      </c>
      <c r="D356" s="42" t="s">
        <v>194</v>
      </c>
      <c r="E356" s="43">
        <v>54489900</v>
      </c>
      <c r="F356" s="43">
        <f>C356-G356</f>
        <v>510100</v>
      </c>
      <c r="G356" s="43">
        <v>54489900</v>
      </c>
      <c r="H356" s="44">
        <v>100</v>
      </c>
      <c r="I356" s="28"/>
      <c r="J356" s="29"/>
      <c r="K356" s="30"/>
      <c r="L356" s="31"/>
    </row>
    <row r="357" spans="1:12" ht="27.75" thickBot="1" x14ac:dyDescent="0.3">
      <c r="A357" s="42"/>
      <c r="B357" s="42" t="s">
        <v>404</v>
      </c>
      <c r="C357" s="43">
        <v>60000000</v>
      </c>
      <c r="D357" s="42" t="s">
        <v>194</v>
      </c>
      <c r="E357" s="43">
        <v>59940000</v>
      </c>
      <c r="F357" s="43">
        <f>C357-G357</f>
        <v>60000</v>
      </c>
      <c r="G357" s="43">
        <v>59940000</v>
      </c>
      <c r="H357" s="44">
        <v>100</v>
      </c>
      <c r="I357" s="28"/>
      <c r="J357" s="29"/>
      <c r="K357" s="30"/>
      <c r="L357" s="31"/>
    </row>
    <row r="358" spans="1:12" ht="27.75" thickBot="1" x14ac:dyDescent="0.3">
      <c r="A358" s="42"/>
      <c r="B358" s="42" t="s">
        <v>405</v>
      </c>
      <c r="C358" s="43">
        <v>20000000</v>
      </c>
      <c r="D358" s="42" t="s">
        <v>194</v>
      </c>
      <c r="E358" s="43">
        <v>19708000</v>
      </c>
      <c r="F358" s="43">
        <f>C358-G358</f>
        <v>292000</v>
      </c>
      <c r="G358" s="43">
        <v>19708000</v>
      </c>
      <c r="H358" s="44">
        <v>100</v>
      </c>
      <c r="I358" s="28"/>
      <c r="J358" s="29"/>
      <c r="K358" s="30"/>
      <c r="L358" s="31"/>
    </row>
    <row r="359" spans="1:12" ht="27.75" thickBot="1" x14ac:dyDescent="0.3">
      <c r="A359" s="42"/>
      <c r="B359" s="42" t="s">
        <v>406</v>
      </c>
      <c r="C359" s="43">
        <v>18000000</v>
      </c>
      <c r="D359" s="42" t="s">
        <v>194</v>
      </c>
      <c r="E359" s="43">
        <v>17804400</v>
      </c>
      <c r="F359" s="43">
        <f>C359-G359</f>
        <v>195600</v>
      </c>
      <c r="G359" s="43">
        <v>17804400</v>
      </c>
      <c r="H359" s="44">
        <v>100</v>
      </c>
      <c r="I359" s="28"/>
      <c r="J359" s="29"/>
      <c r="K359" s="30"/>
      <c r="L359" s="31"/>
    </row>
    <row r="360" spans="1:12" ht="27.75" thickBot="1" x14ac:dyDescent="0.3">
      <c r="A360" s="42"/>
      <c r="B360" s="42" t="s">
        <v>407</v>
      </c>
      <c r="C360" s="43">
        <v>73000000</v>
      </c>
      <c r="D360" s="42" t="s">
        <v>194</v>
      </c>
      <c r="E360" s="43">
        <v>72372000</v>
      </c>
      <c r="F360" s="43">
        <f>C360-G360</f>
        <v>628000</v>
      </c>
      <c r="G360" s="43">
        <v>72372000</v>
      </c>
      <c r="H360" s="44">
        <v>100</v>
      </c>
      <c r="I360" s="28"/>
      <c r="J360" s="29"/>
      <c r="K360" s="30"/>
      <c r="L360" s="31"/>
    </row>
    <row r="361" spans="1:12" ht="27.75" thickBot="1" x14ac:dyDescent="0.3">
      <c r="A361" s="42"/>
      <c r="B361" s="42" t="s">
        <v>408</v>
      </c>
      <c r="C361" s="43">
        <v>43000000</v>
      </c>
      <c r="D361" s="42" t="s">
        <v>194</v>
      </c>
      <c r="E361" s="43">
        <v>42407000</v>
      </c>
      <c r="F361" s="43">
        <f>C361-G361</f>
        <v>593000</v>
      </c>
      <c r="G361" s="43">
        <v>42407000</v>
      </c>
      <c r="H361" s="44">
        <v>100</v>
      </c>
      <c r="I361" s="28"/>
      <c r="J361" s="29"/>
      <c r="K361" s="30"/>
      <c r="L361" s="31"/>
    </row>
    <row r="362" spans="1:12" ht="27.75" thickBot="1" x14ac:dyDescent="0.3">
      <c r="A362" s="42"/>
      <c r="B362" s="42" t="s">
        <v>409</v>
      </c>
      <c r="C362" s="43">
        <v>43000000</v>
      </c>
      <c r="D362" s="42" t="s">
        <v>194</v>
      </c>
      <c r="E362" s="43">
        <v>42429000</v>
      </c>
      <c r="F362" s="43">
        <f>C362-G362</f>
        <v>571000</v>
      </c>
      <c r="G362" s="43">
        <v>42429000</v>
      </c>
      <c r="H362" s="44">
        <v>100</v>
      </c>
      <c r="I362" s="28"/>
      <c r="J362" s="29"/>
      <c r="K362" s="30"/>
      <c r="L362" s="31"/>
    </row>
    <row r="363" spans="1:12" ht="17.25" thickBot="1" x14ac:dyDescent="0.3">
      <c r="A363" s="42"/>
      <c r="B363" s="42" t="s">
        <v>410</v>
      </c>
      <c r="C363" s="43">
        <v>50000000</v>
      </c>
      <c r="D363" s="42" t="s">
        <v>194</v>
      </c>
      <c r="E363" s="43">
        <v>49500000</v>
      </c>
      <c r="F363" s="43">
        <f>C363-G363</f>
        <v>500000</v>
      </c>
      <c r="G363" s="43">
        <v>49500000</v>
      </c>
      <c r="H363" s="44">
        <v>100</v>
      </c>
      <c r="I363" s="28"/>
      <c r="J363" s="29"/>
      <c r="K363" s="30"/>
      <c r="L363" s="31"/>
    </row>
    <row r="364" spans="1:12" ht="17.25" thickBot="1" x14ac:dyDescent="0.3">
      <c r="A364" s="42"/>
      <c r="B364" s="42" t="s">
        <v>411</v>
      </c>
      <c r="C364" s="43">
        <v>50000000</v>
      </c>
      <c r="D364" s="42" t="s">
        <v>194</v>
      </c>
      <c r="E364" s="43">
        <v>49173000</v>
      </c>
      <c r="F364" s="43">
        <f>C364-G364</f>
        <v>827000</v>
      </c>
      <c r="G364" s="43">
        <v>49173000</v>
      </c>
      <c r="H364" s="44">
        <v>100</v>
      </c>
      <c r="I364" s="28"/>
      <c r="J364" s="29"/>
      <c r="K364" s="30"/>
      <c r="L364" s="31"/>
    </row>
    <row r="365" spans="1:12" ht="27.75" thickBot="1" x14ac:dyDescent="0.3">
      <c r="A365" s="42"/>
      <c r="B365" s="42" t="s">
        <v>412</v>
      </c>
      <c r="C365" s="43">
        <v>786000250</v>
      </c>
      <c r="D365" s="42" t="s">
        <v>89</v>
      </c>
      <c r="E365" s="43">
        <v>786000250</v>
      </c>
      <c r="F365" s="47">
        <f>C365-G365</f>
        <v>0</v>
      </c>
      <c r="G365" s="43">
        <v>786000250</v>
      </c>
      <c r="H365" s="44">
        <f>G365/C365*100</f>
        <v>100</v>
      </c>
      <c r="I365" s="28"/>
      <c r="J365" s="29"/>
      <c r="K365" s="30"/>
      <c r="L365" s="31"/>
    </row>
    <row r="366" spans="1:12" ht="27.75" thickBot="1" x14ac:dyDescent="0.3">
      <c r="A366" s="42"/>
      <c r="B366" s="42" t="s">
        <v>413</v>
      </c>
      <c r="C366" s="43">
        <v>138720000</v>
      </c>
      <c r="D366" s="42" t="s">
        <v>89</v>
      </c>
      <c r="E366" s="43">
        <v>138720000</v>
      </c>
      <c r="F366" s="43">
        <f>C366-G366</f>
        <v>0</v>
      </c>
      <c r="G366" s="43">
        <v>138720000</v>
      </c>
      <c r="H366" s="44">
        <f>G366/C366*100</f>
        <v>100</v>
      </c>
      <c r="I366" s="28"/>
      <c r="J366" s="29"/>
      <c r="K366" s="30"/>
      <c r="L366" s="31"/>
    </row>
    <row r="367" spans="1:12" ht="17.25" thickBot="1" x14ac:dyDescent="0.3">
      <c r="A367" s="42"/>
      <c r="B367" s="42" t="s">
        <v>414</v>
      </c>
      <c r="C367" s="43">
        <v>3171885844</v>
      </c>
      <c r="D367" s="42" t="s">
        <v>89</v>
      </c>
      <c r="E367" s="43">
        <v>3171885844</v>
      </c>
      <c r="F367" s="47">
        <f>C367-G367</f>
        <v>0</v>
      </c>
      <c r="G367" s="43">
        <v>3171885844</v>
      </c>
      <c r="H367" s="44">
        <f>G367/C367*100</f>
        <v>100</v>
      </c>
      <c r="I367" s="28"/>
      <c r="J367" s="29"/>
      <c r="K367" s="30"/>
      <c r="L367" s="31"/>
    </row>
    <row r="368" spans="1:12" ht="27.75" thickBot="1" x14ac:dyDescent="0.3">
      <c r="A368" s="42"/>
      <c r="B368" s="42" t="s">
        <v>415</v>
      </c>
      <c r="C368" s="43">
        <v>16830800</v>
      </c>
      <c r="D368" s="42" t="s">
        <v>194</v>
      </c>
      <c r="E368" s="43">
        <v>16830800</v>
      </c>
      <c r="F368" s="43">
        <f>C368-G368</f>
        <v>0</v>
      </c>
      <c r="G368" s="43">
        <v>16830800</v>
      </c>
      <c r="H368" s="44">
        <f>G368/C368*100</f>
        <v>100</v>
      </c>
      <c r="I368" s="28"/>
      <c r="J368" s="29"/>
      <c r="K368" s="30"/>
      <c r="L368" s="31"/>
    </row>
    <row r="369" spans="1:12" ht="27.75" thickBot="1" x14ac:dyDescent="0.3">
      <c r="A369" s="42"/>
      <c r="B369" s="42" t="s">
        <v>416</v>
      </c>
      <c r="C369" s="43">
        <v>74284000</v>
      </c>
      <c r="D369" s="42" t="s">
        <v>194</v>
      </c>
      <c r="E369" s="43">
        <v>74284000</v>
      </c>
      <c r="F369" s="43">
        <f>C369-G369</f>
        <v>0</v>
      </c>
      <c r="G369" s="43">
        <v>74284000</v>
      </c>
      <c r="H369" s="44">
        <f>G369/C369*100</f>
        <v>100</v>
      </c>
      <c r="I369" s="28"/>
      <c r="J369" s="29"/>
      <c r="K369" s="30"/>
      <c r="L369" s="31"/>
    </row>
    <row r="370" spans="1:12" ht="27.75" thickBot="1" x14ac:dyDescent="0.3">
      <c r="A370" s="42"/>
      <c r="B370" s="42" t="s">
        <v>417</v>
      </c>
      <c r="C370" s="43">
        <v>3216200</v>
      </c>
      <c r="D370" s="42" t="s">
        <v>194</v>
      </c>
      <c r="E370" s="43">
        <v>3216200</v>
      </c>
      <c r="F370" s="43">
        <f>C370-G370</f>
        <v>0</v>
      </c>
      <c r="G370" s="43">
        <v>3216200</v>
      </c>
      <c r="H370" s="44">
        <f>G370/C370*100</f>
        <v>100</v>
      </c>
      <c r="I370" s="28"/>
      <c r="J370" s="29"/>
      <c r="K370" s="30"/>
      <c r="L370" s="31"/>
    </row>
    <row r="371" spans="1:12" ht="27.75" thickBot="1" x14ac:dyDescent="0.3">
      <c r="A371" s="42"/>
      <c r="B371" s="42" t="s">
        <v>418</v>
      </c>
      <c r="C371" s="43">
        <v>5729464</v>
      </c>
      <c r="D371" s="42" t="s">
        <v>194</v>
      </c>
      <c r="E371" s="43">
        <v>5729464</v>
      </c>
      <c r="F371" s="43">
        <f>C371-G371</f>
        <v>0</v>
      </c>
      <c r="G371" s="43">
        <v>5729464</v>
      </c>
      <c r="H371" s="44">
        <v>100</v>
      </c>
      <c r="I371" s="28"/>
      <c r="J371" s="29"/>
      <c r="K371" s="30"/>
      <c r="L371" s="31"/>
    </row>
    <row r="372" spans="1:12" ht="27.75" thickBot="1" x14ac:dyDescent="0.3">
      <c r="A372" s="42"/>
      <c r="B372" s="42" t="s">
        <v>419</v>
      </c>
      <c r="C372" s="43">
        <v>200000000</v>
      </c>
      <c r="D372" s="42" t="s">
        <v>89</v>
      </c>
      <c r="E372" s="43">
        <v>198400000</v>
      </c>
      <c r="F372" s="43">
        <f>C372-G372</f>
        <v>1600000</v>
      </c>
      <c r="G372" s="43">
        <v>198400000</v>
      </c>
      <c r="H372" s="44">
        <v>100</v>
      </c>
      <c r="I372" s="28"/>
      <c r="J372" s="29"/>
      <c r="K372" s="30"/>
      <c r="L372" s="31"/>
    </row>
    <row r="373" spans="1:12" ht="17.25" thickBot="1" x14ac:dyDescent="0.3">
      <c r="A373" s="42"/>
      <c r="B373" s="42" t="s">
        <v>420</v>
      </c>
      <c r="C373" s="43">
        <v>200000000</v>
      </c>
      <c r="D373" s="42" t="s">
        <v>89</v>
      </c>
      <c r="E373" s="43">
        <v>198400000</v>
      </c>
      <c r="F373" s="43">
        <f>C373-G373</f>
        <v>1600000</v>
      </c>
      <c r="G373" s="43">
        <v>198400000</v>
      </c>
      <c r="H373" s="44">
        <v>100</v>
      </c>
      <c r="I373" s="28"/>
      <c r="J373" s="29"/>
      <c r="K373" s="30"/>
      <c r="L373" s="31"/>
    </row>
    <row r="374" spans="1:12" ht="17.25" thickBot="1" x14ac:dyDescent="0.3">
      <c r="A374" s="42"/>
      <c r="B374" s="42" t="s">
        <v>421</v>
      </c>
      <c r="C374" s="43">
        <v>200000000</v>
      </c>
      <c r="D374" s="42" t="s">
        <v>89</v>
      </c>
      <c r="E374" s="43">
        <v>198400000</v>
      </c>
      <c r="F374" s="43">
        <f>C374-G374</f>
        <v>1600000</v>
      </c>
      <c r="G374" s="43">
        <v>198400000</v>
      </c>
      <c r="H374" s="44">
        <v>100</v>
      </c>
      <c r="I374" s="28"/>
      <c r="J374" s="29"/>
      <c r="K374" s="30"/>
      <c r="L374" s="31"/>
    </row>
    <row r="375" spans="1:12" ht="27.75" thickBot="1" x14ac:dyDescent="0.3">
      <c r="A375" s="42"/>
      <c r="B375" s="42" t="s">
        <v>422</v>
      </c>
      <c r="C375" s="43">
        <v>200000000</v>
      </c>
      <c r="D375" s="42" t="s">
        <v>89</v>
      </c>
      <c r="E375" s="43">
        <v>198400000</v>
      </c>
      <c r="F375" s="43">
        <f>C375-G375</f>
        <v>1600000</v>
      </c>
      <c r="G375" s="43">
        <v>198400000</v>
      </c>
      <c r="H375" s="44">
        <v>100</v>
      </c>
      <c r="I375" s="28"/>
      <c r="J375" s="29"/>
      <c r="K375" s="30"/>
      <c r="L375" s="31"/>
    </row>
    <row r="376" spans="1:12" ht="17.25" thickBot="1" x14ac:dyDescent="0.3">
      <c r="A376" s="42"/>
      <c r="B376" s="42" t="s">
        <v>423</v>
      </c>
      <c r="C376" s="43">
        <v>158000000</v>
      </c>
      <c r="D376" s="42" t="s">
        <v>89</v>
      </c>
      <c r="E376" s="43">
        <v>156600000</v>
      </c>
      <c r="F376" s="43">
        <f>C376-G376</f>
        <v>1400000</v>
      </c>
      <c r="G376" s="43">
        <v>156600000</v>
      </c>
      <c r="H376" s="44">
        <v>100</v>
      </c>
      <c r="I376" s="28"/>
      <c r="J376" s="29"/>
      <c r="K376" s="30"/>
      <c r="L376" s="31"/>
    </row>
    <row r="377" spans="1:12" ht="27.75" thickBot="1" x14ac:dyDescent="0.3">
      <c r="A377" s="42"/>
      <c r="B377" s="42" t="s">
        <v>424</v>
      </c>
      <c r="C377" s="43">
        <v>8000000</v>
      </c>
      <c r="D377" s="42" t="s">
        <v>194</v>
      </c>
      <c r="E377" s="43">
        <v>7900000</v>
      </c>
      <c r="F377" s="43">
        <f>C377-G377</f>
        <v>100000</v>
      </c>
      <c r="G377" s="43">
        <v>7900000</v>
      </c>
      <c r="H377" s="44">
        <v>100</v>
      </c>
      <c r="I377" s="28"/>
      <c r="J377" s="29"/>
      <c r="K377" s="30"/>
      <c r="L377" s="31"/>
    </row>
    <row r="378" spans="1:12" ht="27.75" thickBot="1" x14ac:dyDescent="0.3">
      <c r="A378" s="42"/>
      <c r="B378" s="42" t="s">
        <v>425</v>
      </c>
      <c r="C378" s="43">
        <v>9813000</v>
      </c>
      <c r="D378" s="42" t="s">
        <v>194</v>
      </c>
      <c r="E378" s="43">
        <v>9613000</v>
      </c>
      <c r="F378" s="43">
        <f>C378-G378</f>
        <v>200000</v>
      </c>
      <c r="G378" s="43">
        <v>9613000</v>
      </c>
      <c r="H378" s="44">
        <v>100</v>
      </c>
      <c r="I378" s="28"/>
      <c r="J378" s="29"/>
      <c r="K378" s="30"/>
      <c r="L378" s="31"/>
    </row>
    <row r="379" spans="1:12" ht="17.25" thickBot="1" x14ac:dyDescent="0.3">
      <c r="A379" s="42"/>
      <c r="B379" s="42" t="s">
        <v>426</v>
      </c>
      <c r="C379" s="43">
        <v>8000000</v>
      </c>
      <c r="D379" s="42" t="s">
        <v>194</v>
      </c>
      <c r="E379" s="43">
        <v>7900000</v>
      </c>
      <c r="F379" s="43">
        <f>C379-G379</f>
        <v>100000</v>
      </c>
      <c r="G379" s="43">
        <v>7900000</v>
      </c>
      <c r="H379" s="44">
        <v>100</v>
      </c>
      <c r="I379" s="28"/>
      <c r="J379" s="29"/>
      <c r="K379" s="30"/>
      <c r="L379" s="31"/>
    </row>
    <row r="380" spans="1:12" ht="17.25" thickBot="1" x14ac:dyDescent="0.3">
      <c r="A380" s="42"/>
      <c r="B380" s="42" t="s">
        <v>427</v>
      </c>
      <c r="C380" s="43">
        <v>9813000</v>
      </c>
      <c r="D380" s="42" t="s">
        <v>194</v>
      </c>
      <c r="E380" s="43">
        <v>9613000</v>
      </c>
      <c r="F380" s="43">
        <f>C380-G380</f>
        <v>200000</v>
      </c>
      <c r="G380" s="43">
        <v>9613000</v>
      </c>
      <c r="H380" s="44">
        <v>100</v>
      </c>
      <c r="I380" s="28"/>
      <c r="J380" s="29"/>
      <c r="K380" s="30"/>
      <c r="L380" s="31"/>
    </row>
    <row r="381" spans="1:12" ht="27.75" thickBot="1" x14ac:dyDescent="0.3">
      <c r="A381" s="42"/>
      <c r="B381" s="42" t="s">
        <v>428</v>
      </c>
      <c r="C381" s="43">
        <v>8000000</v>
      </c>
      <c r="D381" s="42" t="s">
        <v>194</v>
      </c>
      <c r="E381" s="43">
        <v>7900000</v>
      </c>
      <c r="F381" s="43">
        <f>C381-G381</f>
        <v>100000</v>
      </c>
      <c r="G381" s="43">
        <v>7900000</v>
      </c>
      <c r="H381" s="44">
        <v>100</v>
      </c>
      <c r="I381" s="28"/>
      <c r="J381" s="29"/>
      <c r="K381" s="30"/>
      <c r="L381" s="31"/>
    </row>
    <row r="382" spans="1:12" ht="27.75" thickBot="1" x14ac:dyDescent="0.3">
      <c r="A382" s="42"/>
      <c r="B382" s="42" t="s">
        <v>429</v>
      </c>
      <c r="C382" s="43">
        <v>9813000</v>
      </c>
      <c r="D382" s="42" t="s">
        <v>194</v>
      </c>
      <c r="E382" s="43">
        <v>9613000</v>
      </c>
      <c r="F382" s="43">
        <f>C382-G382</f>
        <v>200000</v>
      </c>
      <c r="G382" s="43">
        <v>9613000</v>
      </c>
      <c r="H382" s="44">
        <v>100</v>
      </c>
      <c r="I382" s="28"/>
      <c r="J382" s="29"/>
      <c r="K382" s="30"/>
      <c r="L382" s="31"/>
    </row>
    <row r="383" spans="1:12" ht="27.75" thickBot="1" x14ac:dyDescent="0.3">
      <c r="A383" s="42"/>
      <c r="B383" s="42" t="s">
        <v>430</v>
      </c>
      <c r="C383" s="43">
        <v>8000000</v>
      </c>
      <c r="D383" s="42" t="s">
        <v>194</v>
      </c>
      <c r="E383" s="43">
        <v>7900000</v>
      </c>
      <c r="F383" s="43">
        <f>C383-G383</f>
        <v>100000</v>
      </c>
      <c r="G383" s="43">
        <v>7900000</v>
      </c>
      <c r="H383" s="44">
        <v>100</v>
      </c>
      <c r="I383" s="28"/>
      <c r="J383" s="29"/>
      <c r="K383" s="30"/>
      <c r="L383" s="31"/>
    </row>
    <row r="384" spans="1:12" ht="27.75" thickBot="1" x14ac:dyDescent="0.3">
      <c r="A384" s="42"/>
      <c r="B384" s="42" t="s">
        <v>431</v>
      </c>
      <c r="C384" s="43">
        <v>9813000</v>
      </c>
      <c r="D384" s="42" t="s">
        <v>194</v>
      </c>
      <c r="E384" s="43">
        <v>9613000</v>
      </c>
      <c r="F384" s="43">
        <f>C384-G384</f>
        <v>200000</v>
      </c>
      <c r="G384" s="43">
        <v>9613000</v>
      </c>
      <c r="H384" s="44">
        <v>100</v>
      </c>
      <c r="I384" s="28"/>
      <c r="J384" s="29"/>
      <c r="K384" s="30"/>
      <c r="L384" s="31"/>
    </row>
    <row r="385" spans="1:12" ht="27.75" thickBot="1" x14ac:dyDescent="0.3">
      <c r="A385" s="42"/>
      <c r="B385" s="42" t="s">
        <v>432</v>
      </c>
      <c r="C385" s="43">
        <v>50000000</v>
      </c>
      <c r="D385" s="42" t="s">
        <v>194</v>
      </c>
      <c r="E385" s="43">
        <v>49178000</v>
      </c>
      <c r="F385" s="43">
        <f>C385-G385</f>
        <v>822000</v>
      </c>
      <c r="G385" s="43">
        <v>49178000</v>
      </c>
      <c r="H385" s="44">
        <v>100</v>
      </c>
      <c r="I385" s="28"/>
      <c r="J385" s="29"/>
      <c r="K385" s="30"/>
      <c r="L385" s="31"/>
    </row>
    <row r="386" spans="1:12" ht="27.75" thickBot="1" x14ac:dyDescent="0.3">
      <c r="A386" s="42"/>
      <c r="B386" s="42" t="s">
        <v>433</v>
      </c>
      <c r="C386" s="43">
        <v>9813000</v>
      </c>
      <c r="D386" s="42" t="s">
        <v>194</v>
      </c>
      <c r="E386" s="43">
        <v>9613000</v>
      </c>
      <c r="F386" s="43">
        <f>C386-G386</f>
        <v>200000</v>
      </c>
      <c r="G386" s="43">
        <v>9613000</v>
      </c>
      <c r="H386" s="44">
        <v>100</v>
      </c>
      <c r="I386" s="28"/>
      <c r="J386" s="29"/>
      <c r="K386" s="30"/>
      <c r="L386" s="31"/>
    </row>
    <row r="387" spans="1:12" ht="27.75" thickBot="1" x14ac:dyDescent="0.3">
      <c r="A387" s="42"/>
      <c r="B387" s="42" t="s">
        <v>434</v>
      </c>
      <c r="C387" s="43">
        <v>98000000</v>
      </c>
      <c r="D387" s="42" t="s">
        <v>194</v>
      </c>
      <c r="E387" s="43">
        <v>96800000</v>
      </c>
      <c r="F387" s="43">
        <f>C387-G387</f>
        <v>1200000</v>
      </c>
      <c r="G387" s="43">
        <v>96800000</v>
      </c>
      <c r="H387" s="44">
        <v>100</v>
      </c>
      <c r="I387" s="28"/>
      <c r="J387" s="29"/>
      <c r="K387" s="30"/>
      <c r="L387" s="31"/>
    </row>
    <row r="388" spans="1:12" ht="54.75" thickBot="1" x14ac:dyDescent="0.3">
      <c r="A388" s="37" t="s">
        <v>435</v>
      </c>
      <c r="B388" s="37" t="s">
        <v>436</v>
      </c>
      <c r="C388" s="38">
        <v>383200000</v>
      </c>
      <c r="D388" s="39"/>
      <c r="E388" s="40"/>
      <c r="F388" s="38">
        <f>C388-G388</f>
        <v>106070664</v>
      </c>
      <c r="G388" s="38">
        <f>SUM(G389:G390)</f>
        <v>277129336</v>
      </c>
      <c r="H388" s="45">
        <f>AVERAGE(H389:H390)</f>
        <v>85.043617597292723</v>
      </c>
      <c r="I388" s="28"/>
      <c r="J388" s="29"/>
      <c r="K388" s="30"/>
      <c r="L388" s="31"/>
    </row>
    <row r="389" spans="1:12" ht="17.25" thickBot="1" x14ac:dyDescent="0.3">
      <c r="A389" s="42"/>
      <c r="B389" s="42" t="s">
        <v>18</v>
      </c>
      <c r="C389" s="43">
        <v>354600000</v>
      </c>
      <c r="D389" s="42" t="s">
        <v>19</v>
      </c>
      <c r="E389" s="43">
        <v>0</v>
      </c>
      <c r="F389" s="43">
        <f>C389-G389</f>
        <v>106070664</v>
      </c>
      <c r="G389" s="43">
        <f>22802150+16407500+20180049+5716550+762300+41155154+16257400+35065629+92382604-2200000</f>
        <v>248529336</v>
      </c>
      <c r="H389" s="44">
        <f>G389/C389*100</f>
        <v>70.087235194585446</v>
      </c>
      <c r="I389" s="28"/>
      <c r="J389" s="29"/>
      <c r="K389" s="30"/>
      <c r="L389" s="31"/>
    </row>
    <row r="390" spans="1:12" ht="17.25" thickBot="1" x14ac:dyDescent="0.3">
      <c r="A390" s="42"/>
      <c r="B390" s="42" t="s">
        <v>437</v>
      </c>
      <c r="C390" s="43">
        <v>28600000</v>
      </c>
      <c r="D390" s="42" t="s">
        <v>72</v>
      </c>
      <c r="E390" s="43">
        <v>28600000</v>
      </c>
      <c r="F390" s="43">
        <f>C390-G390</f>
        <v>0</v>
      </c>
      <c r="G390" s="43">
        <v>28600000</v>
      </c>
      <c r="H390" s="44">
        <v>100</v>
      </c>
      <c r="I390" s="28"/>
      <c r="J390" s="29"/>
      <c r="K390" s="30"/>
      <c r="L390" s="31"/>
    </row>
    <row r="391" spans="1:12" ht="17.25" thickBot="1" x14ac:dyDescent="0.3">
      <c r="A391" s="23" t="s">
        <v>438</v>
      </c>
      <c r="B391" s="24" t="s">
        <v>439</v>
      </c>
      <c r="C391" s="25">
        <f>SUM(C392)</f>
        <v>12902000050</v>
      </c>
      <c r="D391" s="23"/>
      <c r="E391" s="26"/>
      <c r="F391" s="25">
        <f>C391-G391</f>
        <v>7522889335</v>
      </c>
      <c r="G391" s="25">
        <f>G392</f>
        <v>5379110715</v>
      </c>
      <c r="H391" s="27">
        <f>H392</f>
        <v>100</v>
      </c>
      <c r="I391" s="28"/>
      <c r="J391" s="29"/>
      <c r="K391" s="30"/>
      <c r="L391" s="31"/>
    </row>
    <row r="392" spans="1:12" ht="17.25" thickBot="1" x14ac:dyDescent="0.3">
      <c r="A392" s="32" t="s">
        <v>440</v>
      </c>
      <c r="B392" s="32" t="s">
        <v>441</v>
      </c>
      <c r="C392" s="33">
        <f>SUM(C397,C393)</f>
        <v>12902000050</v>
      </c>
      <c r="D392" s="34"/>
      <c r="E392" s="35"/>
      <c r="F392" s="33">
        <f>C392-G392</f>
        <v>7522889335</v>
      </c>
      <c r="G392" s="33">
        <f>G397+G393</f>
        <v>5379110715</v>
      </c>
      <c r="H392" s="36">
        <f>AVERAGE(H393,H397)</f>
        <v>100</v>
      </c>
      <c r="I392" s="28"/>
      <c r="J392" s="29"/>
      <c r="K392" s="30"/>
      <c r="L392" s="31"/>
    </row>
    <row r="393" spans="1:12" ht="27.75" thickBot="1" x14ac:dyDescent="0.3">
      <c r="A393" s="37" t="s">
        <v>442</v>
      </c>
      <c r="B393" s="37" t="s">
        <v>443</v>
      </c>
      <c r="C393" s="38">
        <f>SUM(C394:C396)</f>
        <v>389575750</v>
      </c>
      <c r="D393" s="39"/>
      <c r="E393" s="40"/>
      <c r="F393" s="38">
        <f>C393-G393</f>
        <v>0</v>
      </c>
      <c r="G393" s="38">
        <f>SUM(G394:G396)</f>
        <v>389575750</v>
      </c>
      <c r="H393" s="45">
        <f>AVERAGE(H394:H396)</f>
        <v>100</v>
      </c>
      <c r="I393" s="28"/>
      <c r="J393" s="29"/>
      <c r="K393" s="30"/>
      <c r="L393" s="31"/>
    </row>
    <row r="394" spans="1:12" ht="27.75" thickBot="1" x14ac:dyDescent="0.3">
      <c r="A394" s="42"/>
      <c r="B394" s="42" t="s">
        <v>444</v>
      </c>
      <c r="C394" s="43">
        <v>52487500</v>
      </c>
      <c r="D394" s="42" t="s">
        <v>194</v>
      </c>
      <c r="E394" s="43">
        <v>52487500</v>
      </c>
      <c r="F394" s="43">
        <f>C394-G394</f>
        <v>0</v>
      </c>
      <c r="G394" s="43">
        <v>52487500</v>
      </c>
      <c r="H394" s="44">
        <f>G394/C394*100</f>
        <v>100</v>
      </c>
      <c r="I394" s="28"/>
      <c r="J394" s="29"/>
      <c r="K394" s="30"/>
      <c r="L394" s="31"/>
    </row>
    <row r="395" spans="1:12" ht="27.75" thickBot="1" x14ac:dyDescent="0.3">
      <c r="A395" s="42"/>
      <c r="B395" s="42" t="s">
        <v>445</v>
      </c>
      <c r="C395" s="43">
        <v>19814800</v>
      </c>
      <c r="D395" s="42" t="s">
        <v>194</v>
      </c>
      <c r="E395" s="43">
        <v>19814800</v>
      </c>
      <c r="F395" s="43">
        <f>C395-G395</f>
        <v>0</v>
      </c>
      <c r="G395" s="43">
        <v>19814800</v>
      </c>
      <c r="H395" s="44">
        <v>100</v>
      </c>
      <c r="I395" s="28"/>
      <c r="J395" s="29"/>
      <c r="K395" s="30"/>
      <c r="L395" s="31"/>
    </row>
    <row r="396" spans="1:12" ht="17.25" thickBot="1" x14ac:dyDescent="0.3">
      <c r="A396" s="42"/>
      <c r="B396" s="42" t="s">
        <v>446</v>
      </c>
      <c r="C396" s="43">
        <v>317273450</v>
      </c>
      <c r="D396" s="42" t="s">
        <v>89</v>
      </c>
      <c r="E396" s="43">
        <v>317273450</v>
      </c>
      <c r="F396" s="43">
        <f>C396-G396</f>
        <v>0</v>
      </c>
      <c r="G396" s="43">
        <v>317273450</v>
      </c>
      <c r="H396" s="44">
        <f>G396/C396*100</f>
        <v>100</v>
      </c>
      <c r="I396" s="28"/>
      <c r="J396" s="29"/>
      <c r="K396" s="30"/>
      <c r="L396" s="31"/>
    </row>
    <row r="397" spans="1:12" ht="27.75" thickBot="1" x14ac:dyDescent="0.3">
      <c r="A397" s="37" t="s">
        <v>447</v>
      </c>
      <c r="B397" s="37" t="s">
        <v>448</v>
      </c>
      <c r="C397" s="38">
        <f>SUM(C398:C413)</f>
        <v>12512424300</v>
      </c>
      <c r="D397" s="39"/>
      <c r="E397" s="40"/>
      <c r="F397" s="38">
        <f>C397-G397</f>
        <v>7522889335</v>
      </c>
      <c r="G397" s="38">
        <f>SUM(G398:G413)</f>
        <v>4989534965</v>
      </c>
      <c r="H397" s="45">
        <f>AVERAGE(H400,H403:H411,H413)</f>
        <v>100</v>
      </c>
      <c r="I397" s="28"/>
      <c r="J397" s="29"/>
      <c r="K397" s="30"/>
      <c r="L397" s="31"/>
    </row>
    <row r="398" spans="1:12" ht="17.25" thickBot="1" x14ac:dyDescent="0.3">
      <c r="A398" s="42"/>
      <c r="B398" s="42" t="s">
        <v>449</v>
      </c>
      <c r="C398" s="43">
        <v>80000000</v>
      </c>
      <c r="D398" s="42" t="s">
        <v>194</v>
      </c>
      <c r="E398" s="43">
        <v>0</v>
      </c>
      <c r="F398" s="43">
        <f>C398-G398</f>
        <v>80000000</v>
      </c>
      <c r="G398" s="43">
        <v>0</v>
      </c>
      <c r="H398" s="44">
        <f>G398/C398*100</f>
        <v>0</v>
      </c>
      <c r="I398" s="28"/>
      <c r="J398" s="29"/>
      <c r="K398" s="30"/>
      <c r="L398" s="31"/>
    </row>
    <row r="399" spans="1:12" ht="17.25" thickBot="1" x14ac:dyDescent="0.3">
      <c r="A399" s="42"/>
      <c r="B399" s="42" t="s">
        <v>450</v>
      </c>
      <c r="C399" s="43">
        <v>2500000000</v>
      </c>
      <c r="D399" s="42" t="s">
        <v>89</v>
      </c>
      <c r="E399" s="43">
        <v>0</v>
      </c>
      <c r="F399" s="43">
        <f>C399-G399</f>
        <v>2500000000</v>
      </c>
      <c r="G399" s="43">
        <v>0</v>
      </c>
      <c r="H399" s="44">
        <f>G399/C399*100</f>
        <v>0</v>
      </c>
      <c r="I399" s="28"/>
      <c r="J399" s="29"/>
      <c r="K399" s="30"/>
      <c r="L399" s="31"/>
    </row>
    <row r="400" spans="1:12" ht="17.25" thickBot="1" x14ac:dyDescent="0.3">
      <c r="A400" s="42"/>
      <c r="B400" s="42" t="s">
        <v>451</v>
      </c>
      <c r="C400" s="43">
        <v>100000000</v>
      </c>
      <c r="D400" s="42" t="s">
        <v>194</v>
      </c>
      <c r="E400" s="43">
        <v>83782800</v>
      </c>
      <c r="F400" s="43">
        <f>C400-G400</f>
        <v>16217200</v>
      </c>
      <c r="G400" s="43">
        <v>83782800</v>
      </c>
      <c r="H400" s="44">
        <v>100</v>
      </c>
      <c r="I400" s="28"/>
      <c r="J400" s="29"/>
      <c r="K400" s="30"/>
      <c r="L400" s="31"/>
    </row>
    <row r="401" spans="1:12" ht="17.25" thickBot="1" x14ac:dyDescent="0.3">
      <c r="A401" s="42"/>
      <c r="B401" s="42" t="s">
        <v>452</v>
      </c>
      <c r="C401" s="43">
        <v>100000000</v>
      </c>
      <c r="D401" s="42" t="s">
        <v>194</v>
      </c>
      <c r="E401" s="43">
        <v>0</v>
      </c>
      <c r="F401" s="43">
        <f>C401-G401</f>
        <v>100000000</v>
      </c>
      <c r="G401" s="43">
        <v>0</v>
      </c>
      <c r="H401" s="44">
        <f>G401/C401*100</f>
        <v>0</v>
      </c>
      <c r="I401" s="28"/>
      <c r="J401" s="29"/>
      <c r="K401" s="30"/>
      <c r="L401" s="31"/>
    </row>
    <row r="402" spans="1:12" ht="17.25" thickBot="1" x14ac:dyDescent="0.3">
      <c r="A402" s="42"/>
      <c r="B402" s="42" t="s">
        <v>453</v>
      </c>
      <c r="C402" s="43">
        <v>4570000000</v>
      </c>
      <c r="D402" s="42" t="s">
        <v>89</v>
      </c>
      <c r="E402" s="43">
        <v>0</v>
      </c>
      <c r="F402" s="43">
        <f>C402-G402</f>
        <v>4570000000</v>
      </c>
      <c r="G402" s="43">
        <v>0</v>
      </c>
      <c r="H402" s="44">
        <f>G402/C402*100</f>
        <v>0</v>
      </c>
      <c r="I402" s="28"/>
      <c r="J402" s="29"/>
      <c r="K402" s="30"/>
      <c r="L402" s="31"/>
    </row>
    <row r="403" spans="1:12" ht="17.25" thickBot="1" x14ac:dyDescent="0.3">
      <c r="A403" s="42"/>
      <c r="B403" s="42" t="s">
        <v>454</v>
      </c>
      <c r="C403" s="43">
        <v>60000000</v>
      </c>
      <c r="D403" s="42" t="s">
        <v>194</v>
      </c>
      <c r="E403" s="43">
        <v>59366500</v>
      </c>
      <c r="F403" s="43">
        <f>C403-G403</f>
        <v>633500</v>
      </c>
      <c r="G403" s="43">
        <v>59366500</v>
      </c>
      <c r="H403" s="44">
        <v>100</v>
      </c>
      <c r="I403" s="28"/>
      <c r="J403" s="29"/>
      <c r="K403" s="30"/>
      <c r="L403" s="31"/>
    </row>
    <row r="404" spans="1:12" ht="17.25" thickBot="1" x14ac:dyDescent="0.3">
      <c r="A404" s="42"/>
      <c r="B404" s="42" t="s">
        <v>455</v>
      </c>
      <c r="C404" s="43">
        <v>1000000000</v>
      </c>
      <c r="D404" s="42" t="s">
        <v>89</v>
      </c>
      <c r="E404" s="43">
        <v>880000000</v>
      </c>
      <c r="F404" s="43">
        <f>C404-G404</f>
        <v>120000000</v>
      </c>
      <c r="G404" s="43">
        <f>400000000+480000000</f>
        <v>880000000</v>
      </c>
      <c r="H404" s="44">
        <v>100</v>
      </c>
      <c r="I404" s="28"/>
      <c r="J404" s="29"/>
      <c r="K404" s="30"/>
      <c r="L404" s="31"/>
    </row>
    <row r="405" spans="1:12" ht="17.25" thickBot="1" x14ac:dyDescent="0.3">
      <c r="A405" s="42"/>
      <c r="B405" s="42" t="s">
        <v>456</v>
      </c>
      <c r="C405" s="43">
        <v>80000000</v>
      </c>
      <c r="D405" s="42" t="s">
        <v>194</v>
      </c>
      <c r="E405" s="43">
        <v>79220700</v>
      </c>
      <c r="F405" s="43">
        <f>C405-G405</f>
        <v>779300</v>
      </c>
      <c r="G405" s="43">
        <v>79220700</v>
      </c>
      <c r="H405" s="44">
        <v>100</v>
      </c>
      <c r="I405" s="28"/>
      <c r="J405" s="29"/>
      <c r="K405" s="30"/>
      <c r="L405" s="31"/>
    </row>
    <row r="406" spans="1:12" ht="17.25" thickBot="1" x14ac:dyDescent="0.3">
      <c r="A406" s="42"/>
      <c r="B406" s="42" t="s">
        <v>457</v>
      </c>
      <c r="C406" s="43">
        <v>80000000</v>
      </c>
      <c r="D406" s="42" t="s">
        <v>194</v>
      </c>
      <c r="E406" s="43">
        <v>79326000</v>
      </c>
      <c r="F406" s="43">
        <f>C406-G406</f>
        <v>674000</v>
      </c>
      <c r="G406" s="43">
        <v>79326000</v>
      </c>
      <c r="H406" s="44">
        <f>H407</f>
        <v>100</v>
      </c>
      <c r="I406" s="28"/>
      <c r="J406" s="29"/>
      <c r="K406" s="30"/>
      <c r="L406" s="31"/>
    </row>
    <row r="407" spans="1:12" ht="17.25" thickBot="1" x14ac:dyDescent="0.3">
      <c r="A407" s="42"/>
      <c r="B407" s="42" t="s">
        <v>458</v>
      </c>
      <c r="C407" s="43">
        <v>2800000000</v>
      </c>
      <c r="D407" s="42" t="s">
        <v>89</v>
      </c>
      <c r="E407" s="43">
        <f>813085500+1975699500</f>
        <v>2788785000</v>
      </c>
      <c r="F407" s="43">
        <f>C407-G407</f>
        <v>11215000</v>
      </c>
      <c r="G407" s="43">
        <f>813085500+1975699500</f>
        <v>2788785000</v>
      </c>
      <c r="H407" s="49">
        <v>100</v>
      </c>
      <c r="I407" s="28"/>
      <c r="J407" s="29"/>
      <c r="K407" s="30"/>
      <c r="L407" s="31"/>
    </row>
    <row r="408" spans="1:12" ht="17.25" thickBot="1" x14ac:dyDescent="0.3">
      <c r="A408" s="42"/>
      <c r="B408" s="42" t="s">
        <v>459</v>
      </c>
      <c r="C408" s="43">
        <v>10000000</v>
      </c>
      <c r="D408" s="42" t="s">
        <v>194</v>
      </c>
      <c r="E408" s="43">
        <v>9800000</v>
      </c>
      <c r="F408" s="43">
        <f>C408-G408</f>
        <v>200000</v>
      </c>
      <c r="G408" s="43">
        <v>9800000</v>
      </c>
      <c r="H408" s="44">
        <v>100</v>
      </c>
      <c r="I408" s="28"/>
      <c r="J408" s="29"/>
      <c r="K408" s="30"/>
      <c r="L408" s="31"/>
    </row>
    <row r="409" spans="1:12" ht="17.25" thickBot="1" x14ac:dyDescent="0.3">
      <c r="A409" s="42"/>
      <c r="B409" s="42" t="s">
        <v>460</v>
      </c>
      <c r="C409" s="43">
        <v>10000000</v>
      </c>
      <c r="D409" s="42" t="s">
        <v>194</v>
      </c>
      <c r="E409" s="43">
        <v>9800000</v>
      </c>
      <c r="F409" s="43">
        <f>C409-G409</f>
        <v>200000</v>
      </c>
      <c r="G409" s="43">
        <v>9800000</v>
      </c>
      <c r="H409" s="44">
        <v>100</v>
      </c>
      <c r="I409" s="28"/>
      <c r="J409" s="29"/>
      <c r="K409" s="30"/>
      <c r="L409" s="31"/>
    </row>
    <row r="410" spans="1:12" ht="17.25" thickBot="1" x14ac:dyDescent="0.3">
      <c r="A410" s="42"/>
      <c r="B410" s="42" t="s">
        <v>461</v>
      </c>
      <c r="C410" s="43">
        <v>200000000</v>
      </c>
      <c r="D410" s="42" t="s">
        <v>89</v>
      </c>
      <c r="E410" s="43">
        <v>197447000</v>
      </c>
      <c r="F410" s="43">
        <f>C410-G410</f>
        <v>2553000</v>
      </c>
      <c r="G410" s="43">
        <v>197447000</v>
      </c>
      <c r="H410" s="44">
        <v>100</v>
      </c>
      <c r="I410" s="28"/>
      <c r="J410" s="29"/>
      <c r="K410" s="30"/>
      <c r="L410" s="31"/>
    </row>
    <row r="411" spans="1:12" ht="27.75" thickBot="1" x14ac:dyDescent="0.3">
      <c r="A411" s="42"/>
      <c r="B411" s="42" t="s">
        <v>462</v>
      </c>
      <c r="C411" s="43">
        <v>243640300</v>
      </c>
      <c r="D411" s="42" t="s">
        <v>89</v>
      </c>
      <c r="E411" s="43">
        <v>243640300</v>
      </c>
      <c r="F411" s="43">
        <f>C411-G411</f>
        <v>0</v>
      </c>
      <c r="G411" s="43">
        <v>243640300</v>
      </c>
      <c r="H411" s="44">
        <v>100</v>
      </c>
      <c r="I411" s="28"/>
      <c r="J411" s="29"/>
      <c r="K411" s="30"/>
      <c r="L411" s="31"/>
    </row>
    <row r="412" spans="1:12" ht="17.25" thickBot="1" x14ac:dyDescent="0.3">
      <c r="A412" s="42"/>
      <c r="B412" s="42" t="s">
        <v>463</v>
      </c>
      <c r="C412" s="43">
        <v>578784000</v>
      </c>
      <c r="D412" s="42" t="s">
        <v>19</v>
      </c>
      <c r="E412" s="43">
        <v>0</v>
      </c>
      <c r="F412" s="43">
        <f>C412-G412</f>
        <v>119717335</v>
      </c>
      <c r="G412" s="43">
        <f>459066665</f>
        <v>459066665</v>
      </c>
      <c r="H412" s="44">
        <f>G412/C412*100</f>
        <v>79.315714497981972</v>
      </c>
      <c r="I412" s="28"/>
      <c r="J412" s="29"/>
      <c r="K412" s="30"/>
      <c r="L412" s="31"/>
    </row>
    <row r="413" spans="1:12" s="50" customFormat="1" ht="17.25" thickBot="1" x14ac:dyDescent="0.3">
      <c r="A413" s="42"/>
      <c r="B413" s="42" t="s">
        <v>464</v>
      </c>
      <c r="C413" s="43">
        <v>100000000</v>
      </c>
      <c r="D413" s="42" t="s">
        <v>194</v>
      </c>
      <c r="E413" s="43">
        <v>0</v>
      </c>
      <c r="F413" s="43">
        <f>C413-G413</f>
        <v>700000</v>
      </c>
      <c r="G413" s="43">
        <v>99300000</v>
      </c>
      <c r="H413" s="44">
        <v>100</v>
      </c>
      <c r="I413" s="31"/>
      <c r="J413" s="30"/>
      <c r="K413" s="31"/>
      <c r="L413" s="31"/>
    </row>
    <row r="414" spans="1:12" ht="17.25" thickBot="1" x14ac:dyDescent="0.3">
      <c r="A414" s="23" t="s">
        <v>465</v>
      </c>
      <c r="B414" s="24" t="s">
        <v>466</v>
      </c>
      <c r="C414" s="25">
        <f>SUM(C415)</f>
        <v>123659985000</v>
      </c>
      <c r="D414" s="23"/>
      <c r="E414" s="26"/>
      <c r="F414" s="25">
        <f>C414-G414</f>
        <v>2967437095</v>
      </c>
      <c r="G414" s="25">
        <f>SUM(G415)</f>
        <v>120692547905</v>
      </c>
      <c r="H414" s="27">
        <f>H415</f>
        <v>98</v>
      </c>
      <c r="I414" s="28"/>
      <c r="J414" s="29"/>
      <c r="K414" s="30"/>
      <c r="L414" s="31"/>
    </row>
    <row r="415" spans="1:12" ht="17.25" thickBot="1" x14ac:dyDescent="0.3">
      <c r="A415" s="32" t="s">
        <v>467</v>
      </c>
      <c r="B415" s="32" t="s">
        <v>468</v>
      </c>
      <c r="C415" s="33">
        <f>SUM(C416,C428,C470,C549,C740,C749,C761,C772,C788,C791)</f>
        <v>123659985000</v>
      </c>
      <c r="D415" s="34"/>
      <c r="E415" s="35"/>
      <c r="F415" s="33">
        <f>C415-G415</f>
        <v>2967437095</v>
      </c>
      <c r="G415" s="33">
        <f>SUM(G416,G428,G470,G549,G740,G749,G761,G772,G788,G791)</f>
        <v>120692547905</v>
      </c>
      <c r="H415" s="36">
        <f>AVERAGE(H416,H428,H470,H549,H740,H749,H761,H772,H788,H791)</f>
        <v>98</v>
      </c>
      <c r="I415" s="28"/>
      <c r="J415" s="29"/>
      <c r="K415" s="30"/>
      <c r="L415" s="31"/>
    </row>
    <row r="416" spans="1:12" ht="27.75" thickBot="1" x14ac:dyDescent="0.3">
      <c r="A416" s="37" t="s">
        <v>469</v>
      </c>
      <c r="B416" s="37" t="s">
        <v>470</v>
      </c>
      <c r="C416" s="38">
        <f>SUM(C417:C427)</f>
        <v>895000000</v>
      </c>
      <c r="D416" s="39"/>
      <c r="E416" s="40"/>
      <c r="F416" s="38">
        <f>SUM(F417)</f>
        <v>245000</v>
      </c>
      <c r="G416" s="38">
        <f>SUM(G417:G427)</f>
        <v>418591000</v>
      </c>
      <c r="H416" s="45">
        <f>AVERAGE(H417:H426)</f>
        <v>80</v>
      </c>
      <c r="I416" s="28"/>
      <c r="J416" s="29"/>
      <c r="K416" s="30"/>
      <c r="L416" s="31"/>
    </row>
    <row r="417" spans="1:12" ht="27.75" thickBot="1" x14ac:dyDescent="0.3">
      <c r="A417" s="42"/>
      <c r="B417" s="42" t="s">
        <v>471</v>
      </c>
      <c r="C417" s="43">
        <v>25000000</v>
      </c>
      <c r="D417" s="42" t="s">
        <v>194</v>
      </c>
      <c r="E417" s="43">
        <v>24755000</v>
      </c>
      <c r="F417" s="43">
        <f>C417-G417</f>
        <v>245000</v>
      </c>
      <c r="G417" s="43">
        <v>24755000</v>
      </c>
      <c r="H417" s="44">
        <v>100</v>
      </c>
      <c r="I417" s="28"/>
      <c r="J417" s="29"/>
      <c r="K417" s="30"/>
      <c r="L417" s="31"/>
    </row>
    <row r="418" spans="1:12" ht="17.25" thickBot="1" x14ac:dyDescent="0.3">
      <c r="A418" s="42"/>
      <c r="B418" s="42" t="s">
        <v>472</v>
      </c>
      <c r="C418" s="43">
        <v>80000000</v>
      </c>
      <c r="D418" s="42" t="s">
        <v>194</v>
      </c>
      <c r="E418" s="43">
        <v>79155000</v>
      </c>
      <c r="F418" s="43">
        <f>C418-G418</f>
        <v>845000</v>
      </c>
      <c r="G418" s="43">
        <v>79155000</v>
      </c>
      <c r="H418" s="44">
        <v>100</v>
      </c>
      <c r="I418" s="28"/>
      <c r="J418" s="29"/>
      <c r="K418" s="30"/>
      <c r="L418" s="31"/>
    </row>
    <row r="419" spans="1:12" ht="17.25" thickBot="1" x14ac:dyDescent="0.3">
      <c r="A419" s="42"/>
      <c r="B419" s="42" t="s">
        <v>473</v>
      </c>
      <c r="C419" s="43">
        <v>50000000</v>
      </c>
      <c r="D419" s="42" t="s">
        <v>194</v>
      </c>
      <c r="E419" s="43">
        <v>49023000</v>
      </c>
      <c r="F419" s="43">
        <f>C419-G419</f>
        <v>988000</v>
      </c>
      <c r="G419" s="43">
        <v>49012000</v>
      </c>
      <c r="H419" s="44">
        <v>100</v>
      </c>
      <c r="I419" s="28"/>
      <c r="J419" s="29"/>
      <c r="K419" s="30"/>
      <c r="L419" s="31"/>
    </row>
    <row r="420" spans="1:12" ht="17.25" thickBot="1" x14ac:dyDescent="0.3">
      <c r="A420" s="42"/>
      <c r="B420" s="42" t="s">
        <v>474</v>
      </c>
      <c r="C420" s="43">
        <v>60000000</v>
      </c>
      <c r="D420" s="42" t="s">
        <v>194</v>
      </c>
      <c r="E420" s="43">
        <v>59002000</v>
      </c>
      <c r="F420" s="43">
        <f>C420-G420</f>
        <v>998000</v>
      </c>
      <c r="G420" s="43">
        <v>59002000</v>
      </c>
      <c r="H420" s="44">
        <v>100</v>
      </c>
      <c r="I420" s="28"/>
      <c r="J420" s="29"/>
      <c r="K420" s="30"/>
      <c r="L420" s="31"/>
    </row>
    <row r="421" spans="1:12" ht="17.25" thickBot="1" x14ac:dyDescent="0.3">
      <c r="A421" s="42"/>
      <c r="B421" s="42" t="s">
        <v>475</v>
      </c>
      <c r="C421" s="43">
        <v>50000000</v>
      </c>
      <c r="D421" s="42" t="s">
        <v>194</v>
      </c>
      <c r="E421" s="43">
        <v>49012000</v>
      </c>
      <c r="F421" s="43">
        <f>C421-G421</f>
        <v>977000</v>
      </c>
      <c r="G421" s="43">
        <v>49023000</v>
      </c>
      <c r="H421" s="44">
        <v>100</v>
      </c>
      <c r="I421" s="28"/>
      <c r="J421" s="29"/>
      <c r="K421" s="30"/>
      <c r="L421" s="31"/>
    </row>
    <row r="422" spans="1:12" ht="17.25" thickBot="1" x14ac:dyDescent="0.3">
      <c r="A422" s="42"/>
      <c r="B422" s="42" t="s">
        <v>476</v>
      </c>
      <c r="C422" s="43">
        <v>60000000</v>
      </c>
      <c r="D422" s="42" t="s">
        <v>194</v>
      </c>
      <c r="E422" s="43">
        <v>59434000</v>
      </c>
      <c r="F422" s="43">
        <f>C422-G422</f>
        <v>566000</v>
      </c>
      <c r="G422" s="43">
        <v>59434000</v>
      </c>
      <c r="H422" s="44">
        <v>100</v>
      </c>
      <c r="I422" s="28"/>
      <c r="J422" s="29"/>
      <c r="K422" s="30"/>
      <c r="L422" s="31"/>
    </row>
    <row r="423" spans="1:12" ht="17.25" thickBot="1" x14ac:dyDescent="0.3">
      <c r="A423" s="42"/>
      <c r="B423" s="42" t="s">
        <v>477</v>
      </c>
      <c r="C423" s="43">
        <v>50000000</v>
      </c>
      <c r="D423" s="42" t="s">
        <v>194</v>
      </c>
      <c r="E423" s="43">
        <v>48896000</v>
      </c>
      <c r="F423" s="43">
        <f>C423-G423</f>
        <v>1104000</v>
      </c>
      <c r="G423" s="43">
        <v>48896000</v>
      </c>
      <c r="H423" s="44">
        <v>100</v>
      </c>
      <c r="I423" s="28"/>
      <c r="J423" s="29"/>
      <c r="K423" s="30"/>
      <c r="L423" s="31"/>
    </row>
    <row r="424" spans="1:12" ht="17.25" thickBot="1" x14ac:dyDescent="0.3">
      <c r="A424" s="42"/>
      <c r="B424" s="42" t="s">
        <v>478</v>
      </c>
      <c r="C424" s="43">
        <v>50000000</v>
      </c>
      <c r="D424" s="42" t="s">
        <v>194</v>
      </c>
      <c r="E424" s="43">
        <v>49314000</v>
      </c>
      <c r="F424" s="43">
        <f>C424-G424</f>
        <v>686000</v>
      </c>
      <c r="G424" s="43">
        <v>49314000</v>
      </c>
      <c r="H424" s="44">
        <v>100</v>
      </c>
      <c r="I424" s="28"/>
      <c r="J424" s="29"/>
      <c r="K424" s="30"/>
      <c r="L424" s="31"/>
    </row>
    <row r="425" spans="1:12" ht="17.25" thickBot="1" x14ac:dyDescent="0.3">
      <c r="A425" s="42"/>
      <c r="B425" s="42" t="s">
        <v>479</v>
      </c>
      <c r="C425" s="43">
        <v>150000000</v>
      </c>
      <c r="D425" s="42" t="s">
        <v>72</v>
      </c>
      <c r="E425" s="43">
        <v>0</v>
      </c>
      <c r="F425" s="43">
        <f>C425-G425</f>
        <v>150000000</v>
      </c>
      <c r="G425" s="43">
        <v>0</v>
      </c>
      <c r="H425" s="44">
        <v>0</v>
      </c>
      <c r="I425" s="28"/>
      <c r="J425" s="29"/>
      <c r="K425" s="30"/>
      <c r="L425" s="31"/>
    </row>
    <row r="426" spans="1:12" ht="17.25" thickBot="1" x14ac:dyDescent="0.3">
      <c r="A426" s="42"/>
      <c r="B426" s="42" t="s">
        <v>480</v>
      </c>
      <c r="C426" s="43">
        <v>300000000</v>
      </c>
      <c r="D426" s="42" t="s">
        <v>72</v>
      </c>
      <c r="E426" s="43">
        <v>0</v>
      </c>
      <c r="F426" s="43">
        <f>C426-G426</f>
        <v>300000000</v>
      </c>
      <c r="G426" s="43">
        <v>0</v>
      </c>
      <c r="H426" s="44">
        <v>0</v>
      </c>
      <c r="I426" s="28"/>
      <c r="J426" s="29"/>
      <c r="K426" s="30"/>
      <c r="L426" s="31"/>
    </row>
    <row r="427" spans="1:12" ht="17.25" thickBot="1" x14ac:dyDescent="0.3">
      <c r="A427" s="42"/>
      <c r="B427" s="42" t="s">
        <v>481</v>
      </c>
      <c r="C427" s="43">
        <v>20000000</v>
      </c>
      <c r="D427" s="42" t="s">
        <v>19</v>
      </c>
      <c r="E427" s="43">
        <v>0</v>
      </c>
      <c r="F427" s="43">
        <f>C427-G427</f>
        <v>20000000</v>
      </c>
      <c r="G427" s="43">
        <v>0</v>
      </c>
      <c r="H427" s="44">
        <f>G427/C427*100</f>
        <v>0</v>
      </c>
      <c r="I427" s="28"/>
      <c r="J427" s="29"/>
      <c r="K427" s="30"/>
      <c r="L427" s="31"/>
    </row>
    <row r="428" spans="1:12" ht="17.25" thickBot="1" x14ac:dyDescent="0.3">
      <c r="A428" s="37" t="s">
        <v>482</v>
      </c>
      <c r="B428" s="37" t="s">
        <v>483</v>
      </c>
      <c r="C428" s="38">
        <f>SUM(C429:C469)</f>
        <v>12922528000</v>
      </c>
      <c r="D428" s="39"/>
      <c r="E428" s="40"/>
      <c r="F428" s="38">
        <f>SUM(F429:F465)</f>
        <v>154281700</v>
      </c>
      <c r="G428" s="38">
        <f>SUM(G429:G469)</f>
        <v>12748022600</v>
      </c>
      <c r="H428" s="45">
        <f>AVERAGE(H429:H463,H465:H468)</f>
        <v>100</v>
      </c>
      <c r="I428" s="28"/>
      <c r="J428" s="29"/>
      <c r="K428" s="30"/>
      <c r="L428" s="31"/>
    </row>
    <row r="429" spans="1:12" ht="17.25" thickBot="1" x14ac:dyDescent="0.3">
      <c r="A429" s="42"/>
      <c r="B429" s="42" t="s">
        <v>484</v>
      </c>
      <c r="C429" s="43">
        <v>195000000</v>
      </c>
      <c r="D429" s="42" t="s">
        <v>89</v>
      </c>
      <c r="E429" s="51">
        <v>191874000</v>
      </c>
      <c r="F429" s="43">
        <f>C429-G429</f>
        <v>3126000</v>
      </c>
      <c r="G429" s="43">
        <v>191874000</v>
      </c>
      <c r="H429" s="44">
        <v>100</v>
      </c>
      <c r="I429" s="28"/>
      <c r="J429" s="29"/>
      <c r="K429" s="30"/>
      <c r="L429" s="31"/>
    </row>
    <row r="430" spans="1:12" ht="17.25" thickBot="1" x14ac:dyDescent="0.3">
      <c r="A430" s="42"/>
      <c r="B430" s="42" t="s">
        <v>485</v>
      </c>
      <c r="C430" s="43">
        <v>172000000</v>
      </c>
      <c r="D430" s="42" t="s">
        <v>89</v>
      </c>
      <c r="E430" s="52">
        <v>169804000</v>
      </c>
      <c r="F430" s="43">
        <f>C430-G430</f>
        <v>2196000</v>
      </c>
      <c r="G430" s="52">
        <v>169804000</v>
      </c>
      <c r="H430" s="44">
        <v>100</v>
      </c>
      <c r="I430" s="28"/>
      <c r="J430" s="29"/>
      <c r="K430" s="30"/>
      <c r="L430" s="31"/>
    </row>
    <row r="431" spans="1:12" ht="17.25" thickBot="1" x14ac:dyDescent="0.3">
      <c r="A431" s="42"/>
      <c r="B431" s="42" t="s">
        <v>486</v>
      </c>
      <c r="C431" s="43">
        <v>147000000</v>
      </c>
      <c r="D431" s="42" t="s">
        <v>89</v>
      </c>
      <c r="E431" s="43">
        <v>145931500</v>
      </c>
      <c r="F431" s="43">
        <f>C431-G431</f>
        <v>1068500</v>
      </c>
      <c r="G431" s="43">
        <v>145931500</v>
      </c>
      <c r="H431" s="44">
        <v>100</v>
      </c>
      <c r="I431" s="28"/>
      <c r="J431" s="29"/>
      <c r="K431" s="30"/>
      <c r="L431" s="31"/>
    </row>
    <row r="432" spans="1:12" ht="27.75" thickBot="1" x14ac:dyDescent="0.3">
      <c r="A432" s="42"/>
      <c r="B432" s="42" t="s">
        <v>487</v>
      </c>
      <c r="C432" s="43">
        <v>147000000</v>
      </c>
      <c r="D432" s="42" t="s">
        <v>89</v>
      </c>
      <c r="E432" s="43">
        <v>145931500</v>
      </c>
      <c r="F432" s="43">
        <f>C432-G432</f>
        <v>1068500</v>
      </c>
      <c r="G432" s="43">
        <v>145931500</v>
      </c>
      <c r="H432" s="44">
        <v>100</v>
      </c>
      <c r="I432" s="28"/>
      <c r="J432" s="29"/>
      <c r="K432" s="30"/>
      <c r="L432" s="31"/>
    </row>
    <row r="433" spans="1:12" ht="17.25" thickBot="1" x14ac:dyDescent="0.3">
      <c r="A433" s="42"/>
      <c r="B433" s="42" t="s">
        <v>488</v>
      </c>
      <c r="C433" s="43">
        <v>147000000</v>
      </c>
      <c r="D433" s="42" t="s">
        <v>89</v>
      </c>
      <c r="E433" s="51">
        <v>144168000</v>
      </c>
      <c r="F433" s="43">
        <f>C433-G433</f>
        <v>2832000</v>
      </c>
      <c r="G433" s="51">
        <v>144168000</v>
      </c>
      <c r="H433" s="44">
        <v>100</v>
      </c>
      <c r="I433" s="28"/>
      <c r="J433" s="29"/>
      <c r="K433" s="30"/>
      <c r="L433" s="31"/>
    </row>
    <row r="434" spans="1:12" ht="17.25" thickBot="1" x14ac:dyDescent="0.3">
      <c r="A434" s="42"/>
      <c r="B434" s="42" t="s">
        <v>489</v>
      </c>
      <c r="C434" s="43">
        <v>195000000</v>
      </c>
      <c r="D434" s="42" t="s">
        <v>89</v>
      </c>
      <c r="E434" s="51">
        <v>191997000</v>
      </c>
      <c r="F434" s="43">
        <f>C434-G434</f>
        <v>3003000</v>
      </c>
      <c r="G434" s="43">
        <v>191997000</v>
      </c>
      <c r="H434" s="44">
        <v>100</v>
      </c>
      <c r="I434" s="28"/>
      <c r="J434" s="29"/>
      <c r="K434" s="30"/>
      <c r="L434" s="31"/>
    </row>
    <row r="435" spans="1:12" ht="17.25" thickBot="1" x14ac:dyDescent="0.3">
      <c r="A435" s="42"/>
      <c r="B435" s="42" t="s">
        <v>490</v>
      </c>
      <c r="C435" s="43">
        <v>195000000</v>
      </c>
      <c r="D435" s="42" t="s">
        <v>89</v>
      </c>
      <c r="E435" s="51">
        <v>192225000</v>
      </c>
      <c r="F435" s="43">
        <f>C435-G435</f>
        <v>2775000</v>
      </c>
      <c r="G435" s="43">
        <v>192225000</v>
      </c>
      <c r="H435" s="44">
        <v>100</v>
      </c>
      <c r="I435" s="28"/>
      <c r="J435" s="29"/>
      <c r="K435" s="30"/>
      <c r="L435" s="31"/>
    </row>
    <row r="436" spans="1:12" ht="17.25" thickBot="1" x14ac:dyDescent="0.3">
      <c r="A436" s="42"/>
      <c r="B436" s="42" t="s">
        <v>491</v>
      </c>
      <c r="C436" s="43">
        <v>195000000</v>
      </c>
      <c r="D436" s="42" t="s">
        <v>89</v>
      </c>
      <c r="E436" s="51">
        <v>192225000</v>
      </c>
      <c r="F436" s="43">
        <f>C436-G436</f>
        <v>2775000</v>
      </c>
      <c r="G436" s="51">
        <v>192225000</v>
      </c>
      <c r="H436" s="44">
        <v>100</v>
      </c>
      <c r="I436" s="28"/>
      <c r="J436" s="29"/>
      <c r="K436" s="30"/>
      <c r="L436" s="31"/>
    </row>
    <row r="437" spans="1:12" ht="17.25" thickBot="1" x14ac:dyDescent="0.3">
      <c r="A437" s="42"/>
      <c r="B437" s="42" t="s">
        <v>492</v>
      </c>
      <c r="C437" s="43">
        <v>195000000</v>
      </c>
      <c r="D437" s="42" t="s">
        <v>89</v>
      </c>
      <c r="E437" s="51">
        <v>191994000</v>
      </c>
      <c r="F437" s="43">
        <f>C437-G437</f>
        <v>3006000</v>
      </c>
      <c r="G437" s="43">
        <v>191994000</v>
      </c>
      <c r="H437" s="44">
        <v>100</v>
      </c>
      <c r="I437" s="28"/>
      <c r="J437" s="29"/>
      <c r="K437" s="30"/>
      <c r="L437" s="31"/>
    </row>
    <row r="438" spans="1:12" ht="17.25" thickBot="1" x14ac:dyDescent="0.3">
      <c r="A438" s="42"/>
      <c r="B438" s="42" t="s">
        <v>493</v>
      </c>
      <c r="C438" s="43">
        <v>195000000</v>
      </c>
      <c r="D438" s="42" t="s">
        <v>89</v>
      </c>
      <c r="E438" s="51">
        <v>192215000</v>
      </c>
      <c r="F438" s="43">
        <f>C438-G438</f>
        <v>2785000</v>
      </c>
      <c r="G438" s="43">
        <v>192215000</v>
      </c>
      <c r="H438" s="44">
        <v>100</v>
      </c>
      <c r="I438" s="28"/>
      <c r="J438" s="29"/>
      <c r="K438" s="30"/>
      <c r="L438" s="31"/>
    </row>
    <row r="439" spans="1:12" ht="17.25" thickBot="1" x14ac:dyDescent="0.3">
      <c r="A439" s="42"/>
      <c r="B439" s="42" t="s">
        <v>494</v>
      </c>
      <c r="C439" s="43">
        <v>195000000</v>
      </c>
      <c r="D439" s="42" t="s">
        <v>89</v>
      </c>
      <c r="E439" s="51">
        <v>192155000</v>
      </c>
      <c r="F439" s="43">
        <f>C439-G439</f>
        <v>2845000</v>
      </c>
      <c r="G439" s="43">
        <v>192155000</v>
      </c>
      <c r="H439" s="44">
        <v>100</v>
      </c>
      <c r="I439" s="28"/>
      <c r="J439" s="29"/>
      <c r="K439" s="30"/>
      <c r="L439" s="31"/>
    </row>
    <row r="440" spans="1:12" ht="17.25" thickBot="1" x14ac:dyDescent="0.3">
      <c r="A440" s="42"/>
      <c r="B440" s="42" t="s">
        <v>495</v>
      </c>
      <c r="C440" s="43">
        <v>195000000</v>
      </c>
      <c r="D440" s="42" t="s">
        <v>89</v>
      </c>
      <c r="E440" s="51">
        <v>192815000</v>
      </c>
      <c r="F440" s="43">
        <f>C440-G440</f>
        <v>2185000</v>
      </c>
      <c r="G440" s="43">
        <v>192815000</v>
      </c>
      <c r="H440" s="44">
        <v>100</v>
      </c>
      <c r="I440" s="28"/>
      <c r="J440" s="29"/>
      <c r="K440" s="30"/>
      <c r="L440" s="31"/>
    </row>
    <row r="441" spans="1:12" ht="17.25" thickBot="1" x14ac:dyDescent="0.3">
      <c r="A441" s="42"/>
      <c r="B441" s="42" t="s">
        <v>496</v>
      </c>
      <c r="C441" s="43">
        <v>195000000</v>
      </c>
      <c r="D441" s="42" t="s">
        <v>89</v>
      </c>
      <c r="E441" s="51">
        <v>191695000</v>
      </c>
      <c r="F441" s="43">
        <f>C441-G441</f>
        <v>3305000</v>
      </c>
      <c r="G441" s="43">
        <v>191695000</v>
      </c>
      <c r="H441" s="44">
        <v>100</v>
      </c>
      <c r="I441" s="28"/>
      <c r="J441" s="29"/>
      <c r="K441" s="30"/>
      <c r="L441" s="31"/>
    </row>
    <row r="442" spans="1:12" ht="17.25" thickBot="1" x14ac:dyDescent="0.3">
      <c r="A442" s="42"/>
      <c r="B442" s="42" t="s">
        <v>497</v>
      </c>
      <c r="C442" s="43">
        <v>195000000</v>
      </c>
      <c r="D442" s="42" t="s">
        <v>89</v>
      </c>
      <c r="E442" s="51">
        <v>191656000</v>
      </c>
      <c r="F442" s="43">
        <f>C442-G442</f>
        <v>3344000</v>
      </c>
      <c r="G442" s="43">
        <v>191656000</v>
      </c>
      <c r="H442" s="44">
        <v>100</v>
      </c>
      <c r="I442" s="28"/>
      <c r="J442" s="29"/>
      <c r="K442" s="30"/>
      <c r="L442" s="31"/>
    </row>
    <row r="443" spans="1:12" ht="17.25" thickBot="1" x14ac:dyDescent="0.3">
      <c r="A443" s="42"/>
      <c r="B443" s="42" t="s">
        <v>498</v>
      </c>
      <c r="C443" s="43">
        <v>195000000</v>
      </c>
      <c r="D443" s="42" t="s">
        <v>89</v>
      </c>
      <c r="E443" s="51">
        <v>192081000</v>
      </c>
      <c r="F443" s="43">
        <f>C443-G443</f>
        <v>2919000</v>
      </c>
      <c r="G443" s="51">
        <v>192081000</v>
      </c>
      <c r="H443" s="44">
        <v>100</v>
      </c>
      <c r="I443" s="28"/>
      <c r="J443" s="29"/>
      <c r="K443" s="30"/>
      <c r="L443" s="31"/>
    </row>
    <row r="444" spans="1:12" ht="17.25" thickBot="1" x14ac:dyDescent="0.3">
      <c r="A444" s="42"/>
      <c r="B444" s="42" t="s">
        <v>499</v>
      </c>
      <c r="C444" s="43">
        <v>195000000</v>
      </c>
      <c r="D444" s="42" t="s">
        <v>89</v>
      </c>
      <c r="E444" s="51">
        <v>191938000</v>
      </c>
      <c r="F444" s="43">
        <f>C444-G444</f>
        <v>3062000</v>
      </c>
      <c r="G444" s="43">
        <v>191938000</v>
      </c>
      <c r="H444" s="44">
        <v>100</v>
      </c>
      <c r="I444" s="28"/>
      <c r="J444" s="29"/>
      <c r="K444" s="30"/>
      <c r="L444" s="31"/>
    </row>
    <row r="445" spans="1:12" ht="17.25" thickBot="1" x14ac:dyDescent="0.3">
      <c r="A445" s="42"/>
      <c r="B445" s="42" t="s">
        <v>500</v>
      </c>
      <c r="C445" s="43">
        <v>195000000</v>
      </c>
      <c r="D445" s="42" t="s">
        <v>89</v>
      </c>
      <c r="E445" s="51">
        <v>192067000</v>
      </c>
      <c r="F445" s="43">
        <f>C445-G445</f>
        <v>2933000</v>
      </c>
      <c r="G445" s="51">
        <v>192067000</v>
      </c>
      <c r="H445" s="44">
        <v>100</v>
      </c>
      <c r="I445" s="28"/>
      <c r="J445" s="29"/>
      <c r="K445" s="30"/>
      <c r="L445" s="31"/>
    </row>
    <row r="446" spans="1:12" ht="17.25" thickBot="1" x14ac:dyDescent="0.3">
      <c r="A446" s="42"/>
      <c r="B446" s="42" t="s">
        <v>501</v>
      </c>
      <c r="C446" s="43">
        <v>195000000</v>
      </c>
      <c r="D446" s="42" t="s">
        <v>89</v>
      </c>
      <c r="E446" s="51">
        <v>192582000</v>
      </c>
      <c r="F446" s="43">
        <f>C446-G446</f>
        <v>2418000</v>
      </c>
      <c r="G446" s="43">
        <v>192582000</v>
      </c>
      <c r="H446" s="44">
        <v>100</v>
      </c>
      <c r="I446" s="28"/>
      <c r="J446" s="29"/>
      <c r="K446" s="30"/>
      <c r="L446" s="31"/>
    </row>
    <row r="447" spans="1:12" ht="17.25" thickBot="1" x14ac:dyDescent="0.3">
      <c r="A447" s="42"/>
      <c r="B447" s="42" t="s">
        <v>502</v>
      </c>
      <c r="C447" s="43">
        <v>147000000</v>
      </c>
      <c r="D447" s="42" t="s">
        <v>89</v>
      </c>
      <c r="E447" s="51">
        <v>144098000</v>
      </c>
      <c r="F447" s="43">
        <f>C447-G447</f>
        <v>2902000</v>
      </c>
      <c r="G447" s="43">
        <v>144098000</v>
      </c>
      <c r="H447" s="44">
        <v>100</v>
      </c>
      <c r="I447" s="28"/>
      <c r="J447" s="29"/>
      <c r="K447" s="30"/>
      <c r="L447" s="31"/>
    </row>
    <row r="448" spans="1:12" ht="17.25" thickBot="1" x14ac:dyDescent="0.3">
      <c r="A448" s="42"/>
      <c r="B448" s="42" t="s">
        <v>503</v>
      </c>
      <c r="C448" s="43">
        <v>195000000</v>
      </c>
      <c r="D448" s="42" t="s">
        <v>89</v>
      </c>
      <c r="E448" s="51">
        <v>192343000</v>
      </c>
      <c r="F448" s="43">
        <f>C448-G448</f>
        <v>2657000</v>
      </c>
      <c r="G448" s="43">
        <v>192343000</v>
      </c>
      <c r="H448" s="44">
        <v>100</v>
      </c>
      <c r="I448" s="28"/>
      <c r="J448" s="29"/>
      <c r="K448" s="30"/>
      <c r="L448" s="31"/>
    </row>
    <row r="449" spans="1:12" ht="17.25" thickBot="1" x14ac:dyDescent="0.3">
      <c r="A449" s="42"/>
      <c r="B449" s="42" t="s">
        <v>504</v>
      </c>
      <c r="C449" s="43">
        <v>195000000</v>
      </c>
      <c r="D449" s="42" t="s">
        <v>89</v>
      </c>
      <c r="E449" s="51">
        <v>192313000</v>
      </c>
      <c r="F449" s="43">
        <f>C449-G449</f>
        <v>2687000</v>
      </c>
      <c r="G449" s="43">
        <v>192313000</v>
      </c>
      <c r="H449" s="44">
        <v>100</v>
      </c>
      <c r="I449" s="28"/>
      <c r="J449" s="29"/>
      <c r="K449" s="30"/>
      <c r="L449" s="31"/>
    </row>
    <row r="450" spans="1:12" ht="17.25" thickBot="1" x14ac:dyDescent="0.3">
      <c r="A450" s="42"/>
      <c r="B450" s="42" t="s">
        <v>505</v>
      </c>
      <c r="C450" s="43">
        <v>195000000</v>
      </c>
      <c r="D450" s="42" t="s">
        <v>89</v>
      </c>
      <c r="E450" s="51">
        <v>191610000</v>
      </c>
      <c r="F450" s="43">
        <f>C450-G450</f>
        <v>3390000</v>
      </c>
      <c r="G450" s="43">
        <v>191610000</v>
      </c>
      <c r="H450" s="44">
        <v>100</v>
      </c>
      <c r="I450" s="28"/>
      <c r="J450" s="29"/>
      <c r="K450" s="30"/>
      <c r="L450" s="31"/>
    </row>
    <row r="451" spans="1:12" ht="17.25" thickBot="1" x14ac:dyDescent="0.3">
      <c r="A451" s="42"/>
      <c r="B451" s="42" t="s">
        <v>506</v>
      </c>
      <c r="C451" s="43">
        <v>195000000</v>
      </c>
      <c r="D451" s="42" t="s">
        <v>89</v>
      </c>
      <c r="E451" s="51">
        <v>191610000</v>
      </c>
      <c r="F451" s="43">
        <f>C451-G451</f>
        <v>3390000</v>
      </c>
      <c r="G451" s="43">
        <v>191610000</v>
      </c>
      <c r="H451" s="44">
        <v>100</v>
      </c>
      <c r="I451" s="28"/>
      <c r="J451" s="29"/>
      <c r="K451" s="30"/>
      <c r="L451" s="31"/>
    </row>
    <row r="452" spans="1:12" ht="17.25" thickBot="1" x14ac:dyDescent="0.3">
      <c r="A452" s="42"/>
      <c r="B452" s="42" t="s">
        <v>507</v>
      </c>
      <c r="C452" s="43">
        <v>230000000</v>
      </c>
      <c r="D452" s="42" t="s">
        <v>89</v>
      </c>
      <c r="E452" s="51">
        <v>227014000</v>
      </c>
      <c r="F452" s="43">
        <f>C452-G452</f>
        <v>2986000</v>
      </c>
      <c r="G452" s="43">
        <v>227014000</v>
      </c>
      <c r="H452" s="44">
        <v>100</v>
      </c>
      <c r="I452" s="28"/>
      <c r="J452" s="29"/>
      <c r="K452" s="30"/>
      <c r="L452" s="31"/>
    </row>
    <row r="453" spans="1:12" ht="17.25" thickBot="1" x14ac:dyDescent="0.3">
      <c r="A453" s="42"/>
      <c r="B453" s="42" t="s">
        <v>508</v>
      </c>
      <c r="C453" s="43">
        <v>195000000</v>
      </c>
      <c r="D453" s="42" t="s">
        <v>89</v>
      </c>
      <c r="E453" s="53">
        <v>191600000</v>
      </c>
      <c r="F453" s="54">
        <f>C453-G453</f>
        <v>3400000</v>
      </c>
      <c r="G453" s="54">
        <v>191600000</v>
      </c>
      <c r="H453" s="44">
        <v>100</v>
      </c>
      <c r="I453" s="28"/>
      <c r="J453" s="29"/>
      <c r="K453" s="30"/>
      <c r="L453" s="31"/>
    </row>
    <row r="454" spans="1:12" ht="17.25" thickBot="1" x14ac:dyDescent="0.3">
      <c r="A454" s="42"/>
      <c r="B454" s="42" t="s">
        <v>509</v>
      </c>
      <c r="C454" s="43">
        <v>230000000</v>
      </c>
      <c r="D454" s="55" t="s">
        <v>89</v>
      </c>
      <c r="E454" s="56">
        <v>223131500</v>
      </c>
      <c r="F454" s="57">
        <f>C454-G454</f>
        <v>6868500</v>
      </c>
      <c r="G454" s="56">
        <f>223131500</f>
        <v>223131500</v>
      </c>
      <c r="H454" s="44">
        <v>100</v>
      </c>
      <c r="I454" s="28"/>
      <c r="J454" s="29"/>
      <c r="K454" s="30"/>
      <c r="L454" s="31"/>
    </row>
    <row r="455" spans="1:12" ht="17.25" thickBot="1" x14ac:dyDescent="0.3">
      <c r="A455" s="42"/>
      <c r="B455" s="42" t="s">
        <v>510</v>
      </c>
      <c r="C455" s="43">
        <v>230000000</v>
      </c>
      <c r="D455" s="55" t="s">
        <v>89</v>
      </c>
      <c r="E455" s="56">
        <v>223131500</v>
      </c>
      <c r="F455" s="57">
        <f>C455-G455</f>
        <v>6868500</v>
      </c>
      <c r="G455" s="56">
        <f>223131500</f>
        <v>223131500</v>
      </c>
      <c r="H455" s="44">
        <v>100</v>
      </c>
      <c r="I455" s="28"/>
      <c r="J455" s="29"/>
      <c r="K455" s="30"/>
      <c r="L455" s="31"/>
    </row>
    <row r="456" spans="1:12" ht="17.25" thickBot="1" x14ac:dyDescent="0.3">
      <c r="A456" s="42"/>
      <c r="B456" s="42" t="s">
        <v>511</v>
      </c>
      <c r="C456" s="43">
        <v>230000000</v>
      </c>
      <c r="D456" s="55" t="s">
        <v>89</v>
      </c>
      <c r="E456" s="56">
        <v>223131500</v>
      </c>
      <c r="F456" s="57">
        <f>C456-G456</f>
        <v>6868500</v>
      </c>
      <c r="G456" s="56">
        <f>223131500</f>
        <v>223131500</v>
      </c>
      <c r="H456" s="44">
        <v>100</v>
      </c>
      <c r="I456" s="28"/>
      <c r="J456" s="29"/>
      <c r="K456" s="30"/>
      <c r="L456" s="31"/>
    </row>
    <row r="457" spans="1:12" ht="17.25" thickBot="1" x14ac:dyDescent="0.3">
      <c r="A457" s="42"/>
      <c r="B457" s="42" t="s">
        <v>512</v>
      </c>
      <c r="C457" s="43">
        <v>230000000</v>
      </c>
      <c r="D457" s="55" t="s">
        <v>89</v>
      </c>
      <c r="E457" s="56">
        <v>223131500</v>
      </c>
      <c r="F457" s="58">
        <f>C457-G457</f>
        <v>6868500</v>
      </c>
      <c r="G457" s="56">
        <f>223131500</f>
        <v>223131500</v>
      </c>
      <c r="H457" s="44">
        <v>100</v>
      </c>
      <c r="I457" s="28"/>
      <c r="J457" s="29"/>
      <c r="K457" s="30"/>
      <c r="L457" s="31"/>
    </row>
    <row r="458" spans="1:12" ht="17.25" thickBot="1" x14ac:dyDescent="0.3">
      <c r="A458" s="42"/>
      <c r="B458" s="42" t="s">
        <v>513</v>
      </c>
      <c r="C458" s="43">
        <v>195000000</v>
      </c>
      <c r="D458" s="42" t="s">
        <v>89</v>
      </c>
      <c r="E458" s="59">
        <v>193117000</v>
      </c>
      <c r="F458" s="59">
        <f>C458-G458</f>
        <v>1883000</v>
      </c>
      <c r="G458" s="59">
        <v>193117000</v>
      </c>
      <c r="H458" s="44">
        <v>100</v>
      </c>
      <c r="I458" s="28"/>
      <c r="J458" s="29"/>
      <c r="K458" s="30"/>
      <c r="L458" s="31"/>
    </row>
    <row r="459" spans="1:12" ht="17.25" thickBot="1" x14ac:dyDescent="0.3">
      <c r="A459" s="42"/>
      <c r="B459" s="42" t="s">
        <v>514</v>
      </c>
      <c r="C459" s="43">
        <v>195000000</v>
      </c>
      <c r="D459" s="42" t="s">
        <v>89</v>
      </c>
      <c r="E459" s="43">
        <v>192652000</v>
      </c>
      <c r="F459" s="43">
        <f>C459-G459</f>
        <v>2348000</v>
      </c>
      <c r="G459" s="43">
        <v>192652000</v>
      </c>
      <c r="H459" s="44">
        <v>100</v>
      </c>
      <c r="I459" s="28"/>
      <c r="J459" s="29"/>
      <c r="K459" s="30"/>
      <c r="L459" s="31"/>
    </row>
    <row r="460" spans="1:12" ht="17.25" thickBot="1" x14ac:dyDescent="0.3">
      <c r="A460" s="42"/>
      <c r="B460" s="42" t="s">
        <v>515</v>
      </c>
      <c r="C460" s="43">
        <v>195000000</v>
      </c>
      <c r="D460" s="42" t="s">
        <v>89</v>
      </c>
      <c r="E460" s="43">
        <v>193236000</v>
      </c>
      <c r="F460" s="43">
        <f>C460-G460</f>
        <v>1764000</v>
      </c>
      <c r="G460" s="43">
        <v>193236000</v>
      </c>
      <c r="H460" s="44">
        <v>100</v>
      </c>
      <c r="I460" s="28"/>
      <c r="J460" s="29"/>
      <c r="K460" s="30"/>
      <c r="L460" s="31"/>
    </row>
    <row r="461" spans="1:12" ht="17.25" thickBot="1" x14ac:dyDescent="0.3">
      <c r="A461" s="42"/>
      <c r="B461" s="42" t="s">
        <v>516</v>
      </c>
      <c r="C461" s="43">
        <v>195000000</v>
      </c>
      <c r="D461" s="42" t="s">
        <v>89</v>
      </c>
      <c r="E461" s="43">
        <v>192819000</v>
      </c>
      <c r="F461" s="43">
        <f>C461-G461</f>
        <v>2181000</v>
      </c>
      <c r="G461" s="43">
        <v>192819000</v>
      </c>
      <c r="H461" s="44">
        <v>100</v>
      </c>
      <c r="I461" s="28"/>
      <c r="J461" s="29"/>
      <c r="K461" s="30"/>
      <c r="L461" s="31"/>
    </row>
    <row r="462" spans="1:12" ht="17.25" thickBot="1" x14ac:dyDescent="0.3">
      <c r="A462" s="42"/>
      <c r="B462" s="42" t="s">
        <v>517</v>
      </c>
      <c r="C462" s="43">
        <v>195000000</v>
      </c>
      <c r="D462" s="42" t="s">
        <v>89</v>
      </c>
      <c r="E462" s="43">
        <v>192898000</v>
      </c>
      <c r="F462" s="43">
        <f>C462-G462</f>
        <v>2102000</v>
      </c>
      <c r="G462" s="43">
        <v>192898000</v>
      </c>
      <c r="H462" s="44">
        <v>100</v>
      </c>
      <c r="I462" s="28"/>
      <c r="J462" s="29"/>
      <c r="K462" s="30"/>
      <c r="L462" s="31"/>
    </row>
    <row r="463" spans="1:12" ht="17.25" thickBot="1" x14ac:dyDescent="0.3">
      <c r="A463" s="42"/>
      <c r="B463" s="42" t="s">
        <v>518</v>
      </c>
      <c r="C463" s="43">
        <v>195000000</v>
      </c>
      <c r="D463" s="42" t="s">
        <v>89</v>
      </c>
      <c r="E463" s="43">
        <v>193379000</v>
      </c>
      <c r="F463" s="43">
        <f>C463-G463</f>
        <v>1621000</v>
      </c>
      <c r="G463" s="43">
        <v>193379000</v>
      </c>
      <c r="H463" s="44">
        <v>100</v>
      </c>
      <c r="I463" s="28"/>
      <c r="J463" s="29"/>
      <c r="K463" s="30"/>
      <c r="L463" s="31"/>
    </row>
    <row r="464" spans="1:12" ht="17.25" thickBot="1" x14ac:dyDescent="0.3">
      <c r="A464" s="42"/>
      <c r="B464" s="42" t="s">
        <v>519</v>
      </c>
      <c r="C464" s="43">
        <v>90980000</v>
      </c>
      <c r="D464" s="42" t="s">
        <v>19</v>
      </c>
      <c r="E464" s="43">
        <v>0</v>
      </c>
      <c r="F464" s="43">
        <f>C464-G464</f>
        <v>23732700</v>
      </c>
      <c r="G464" s="43">
        <f>67247300</f>
        <v>67247300</v>
      </c>
      <c r="H464" s="44">
        <f>G464/C464*100</f>
        <v>73.914376786106843</v>
      </c>
      <c r="I464" s="28"/>
      <c r="J464" s="29"/>
      <c r="K464" s="30"/>
      <c r="L464" s="31"/>
    </row>
    <row r="465" spans="1:12" ht="27.75" thickBot="1" x14ac:dyDescent="0.3">
      <c r="A465" s="42"/>
      <c r="B465" s="42" t="s">
        <v>520</v>
      </c>
      <c r="C465" s="43">
        <v>718686000</v>
      </c>
      <c r="D465" s="42" t="s">
        <v>89</v>
      </c>
      <c r="E465" s="43">
        <v>696568000</v>
      </c>
      <c r="F465" s="43">
        <f>C465-G465</f>
        <v>22118000</v>
      </c>
      <c r="G465" s="43">
        <v>696568000</v>
      </c>
      <c r="H465" s="44">
        <v>100</v>
      </c>
      <c r="I465" s="28"/>
      <c r="J465" s="29"/>
      <c r="K465" s="30"/>
      <c r="L465" s="31"/>
    </row>
    <row r="466" spans="1:12" ht="17.25" thickBot="1" x14ac:dyDescent="0.3">
      <c r="A466" s="42"/>
      <c r="B466" s="42" t="s">
        <v>521</v>
      </c>
      <c r="C466" s="43">
        <v>4730000000</v>
      </c>
      <c r="D466" s="42" t="s">
        <v>89</v>
      </c>
      <c r="E466" s="43">
        <v>4717357300</v>
      </c>
      <c r="F466" s="43">
        <f>C466-G466</f>
        <v>12642700</v>
      </c>
      <c r="G466" s="43">
        <f>4717357300</f>
        <v>4717357300</v>
      </c>
      <c r="H466" s="44">
        <v>100</v>
      </c>
      <c r="I466" s="28"/>
      <c r="J466" s="29"/>
      <c r="K466" s="30"/>
      <c r="L466" s="31"/>
    </row>
    <row r="467" spans="1:12" ht="17.25" thickBot="1" x14ac:dyDescent="0.3">
      <c r="A467" s="42"/>
      <c r="B467" s="42" t="s">
        <v>522</v>
      </c>
      <c r="C467" s="43">
        <v>200000000</v>
      </c>
      <c r="D467" s="42" t="s">
        <v>89</v>
      </c>
      <c r="E467" s="43">
        <v>197706000</v>
      </c>
      <c r="F467" s="43">
        <f>C467-G467</f>
        <v>2294000</v>
      </c>
      <c r="G467" s="43">
        <v>197706000</v>
      </c>
      <c r="H467" s="44">
        <v>100</v>
      </c>
      <c r="I467" s="28"/>
      <c r="J467" s="29"/>
      <c r="K467" s="30"/>
      <c r="L467" s="31"/>
    </row>
    <row r="468" spans="1:12" ht="17.25" thickBot="1" x14ac:dyDescent="0.3">
      <c r="A468" s="42"/>
      <c r="B468" s="42" t="s">
        <v>523</v>
      </c>
      <c r="C468" s="43">
        <v>327862000</v>
      </c>
      <c r="D468" s="42" t="s">
        <v>89</v>
      </c>
      <c r="E468" s="43">
        <v>323323000</v>
      </c>
      <c r="F468" s="43">
        <f>C468-G468</f>
        <v>4539000</v>
      </c>
      <c r="G468" s="43">
        <f>323323000</f>
        <v>323323000</v>
      </c>
      <c r="H468" s="44">
        <v>100</v>
      </c>
      <c r="I468" s="28"/>
      <c r="J468" s="29"/>
      <c r="K468" s="30"/>
      <c r="L468" s="31"/>
    </row>
    <row r="469" spans="1:12" ht="17.25" thickBot="1" x14ac:dyDescent="0.3">
      <c r="A469" s="42"/>
      <c r="B469" s="42" t="s">
        <v>524</v>
      </c>
      <c r="C469" s="43">
        <v>70000000</v>
      </c>
      <c r="D469" s="42" t="s">
        <v>194</v>
      </c>
      <c r="E469" s="43">
        <v>69252000</v>
      </c>
      <c r="F469" s="43">
        <f>C469-G469</f>
        <v>748000</v>
      </c>
      <c r="G469" s="43">
        <v>69252000</v>
      </c>
      <c r="H469" s="44">
        <v>100</v>
      </c>
      <c r="I469" s="28"/>
      <c r="J469" s="29"/>
      <c r="K469" s="30"/>
      <c r="L469" s="31"/>
    </row>
    <row r="470" spans="1:12" ht="17.25" thickBot="1" x14ac:dyDescent="0.3">
      <c r="A470" s="37" t="s">
        <v>525</v>
      </c>
      <c r="B470" s="37" t="s">
        <v>526</v>
      </c>
      <c r="C470" s="38">
        <f>SUM(C471:C548)</f>
        <v>15188196000</v>
      </c>
      <c r="D470" s="39"/>
      <c r="E470" s="40"/>
      <c r="F470" s="38">
        <f>C470-G470</f>
        <v>281224900</v>
      </c>
      <c r="G470" s="38">
        <f>SUM(G471:G548)</f>
        <v>14906971100</v>
      </c>
      <c r="H470" s="45">
        <f>AVERAGE(H471:H542,H545:H548,H544)</f>
        <v>100</v>
      </c>
      <c r="I470" s="28"/>
      <c r="J470" s="29"/>
      <c r="K470" s="30"/>
      <c r="L470" s="31"/>
    </row>
    <row r="471" spans="1:12" ht="17.25" thickBot="1" x14ac:dyDescent="0.3">
      <c r="A471" s="42"/>
      <c r="B471" s="42" t="s">
        <v>527</v>
      </c>
      <c r="C471" s="43">
        <v>195000000</v>
      </c>
      <c r="D471" s="42" t="s">
        <v>89</v>
      </c>
      <c r="E471" s="43">
        <v>191916000</v>
      </c>
      <c r="F471" s="43">
        <f>C471-G471</f>
        <v>3084000</v>
      </c>
      <c r="G471" s="43">
        <v>191916000</v>
      </c>
      <c r="H471" s="44">
        <v>100</v>
      </c>
      <c r="I471" s="28"/>
      <c r="J471" s="29"/>
      <c r="K471" s="30"/>
      <c r="L471" s="31"/>
    </row>
    <row r="472" spans="1:12" ht="17.25" thickBot="1" x14ac:dyDescent="0.3">
      <c r="A472" s="42"/>
      <c r="B472" s="42" t="s">
        <v>528</v>
      </c>
      <c r="C472" s="43">
        <v>195000000</v>
      </c>
      <c r="D472" s="42" t="s">
        <v>89</v>
      </c>
      <c r="E472" s="43">
        <v>192675000</v>
      </c>
      <c r="F472" s="43">
        <f>C472-G472</f>
        <v>2325000</v>
      </c>
      <c r="G472" s="43">
        <v>192675000</v>
      </c>
      <c r="H472" s="44">
        <v>100</v>
      </c>
      <c r="I472" s="28"/>
      <c r="J472" s="29"/>
      <c r="K472" s="30"/>
      <c r="L472" s="31"/>
    </row>
    <row r="473" spans="1:12" ht="17.25" thickBot="1" x14ac:dyDescent="0.3">
      <c r="A473" s="42"/>
      <c r="B473" s="42" t="s">
        <v>529</v>
      </c>
      <c r="C473" s="43">
        <v>195000000</v>
      </c>
      <c r="D473" s="42" t="s">
        <v>89</v>
      </c>
      <c r="E473" s="43">
        <v>191970900</v>
      </c>
      <c r="F473" s="43">
        <f>C473-G473</f>
        <v>3029100</v>
      </c>
      <c r="G473" s="43">
        <v>191970900</v>
      </c>
      <c r="H473" s="44">
        <v>100</v>
      </c>
      <c r="I473" s="28"/>
      <c r="J473" s="29"/>
      <c r="K473" s="30"/>
      <c r="L473" s="31"/>
    </row>
    <row r="474" spans="1:12" ht="17.25" thickBot="1" x14ac:dyDescent="0.3">
      <c r="A474" s="42"/>
      <c r="B474" s="42" t="s">
        <v>530</v>
      </c>
      <c r="C474" s="43">
        <v>195000000</v>
      </c>
      <c r="D474" s="42" t="s">
        <v>89</v>
      </c>
      <c r="E474" s="43">
        <v>192097000</v>
      </c>
      <c r="F474" s="43">
        <f>C474-G474</f>
        <v>2903000</v>
      </c>
      <c r="G474" s="43">
        <v>192097000</v>
      </c>
      <c r="H474" s="44">
        <v>100</v>
      </c>
      <c r="I474" s="28"/>
      <c r="J474" s="29"/>
      <c r="K474" s="30"/>
      <c r="L474" s="31"/>
    </row>
    <row r="475" spans="1:12" ht="17.25" thickBot="1" x14ac:dyDescent="0.3">
      <c r="A475" s="42"/>
      <c r="B475" s="42" t="s">
        <v>531</v>
      </c>
      <c r="C475" s="43">
        <v>195000000</v>
      </c>
      <c r="D475" s="42" t="s">
        <v>89</v>
      </c>
      <c r="E475" s="43">
        <v>192180500</v>
      </c>
      <c r="F475" s="43">
        <f>C475-G475</f>
        <v>2819500</v>
      </c>
      <c r="G475" s="43">
        <v>192180500</v>
      </c>
      <c r="H475" s="44">
        <v>100</v>
      </c>
      <c r="I475" s="28"/>
      <c r="J475" s="29"/>
      <c r="K475" s="30"/>
      <c r="L475" s="31"/>
    </row>
    <row r="476" spans="1:12" ht="17.25" thickBot="1" x14ac:dyDescent="0.3">
      <c r="A476" s="42"/>
      <c r="B476" s="42" t="s">
        <v>532</v>
      </c>
      <c r="C476" s="43">
        <v>147000000</v>
      </c>
      <c r="D476" s="42" t="s">
        <v>89</v>
      </c>
      <c r="E476" s="43">
        <v>143785000</v>
      </c>
      <c r="F476" s="43">
        <f>C476-G476</f>
        <v>3215000</v>
      </c>
      <c r="G476" s="43">
        <v>143785000</v>
      </c>
      <c r="H476" s="44">
        <v>100</v>
      </c>
      <c r="I476" s="28"/>
      <c r="J476" s="29"/>
      <c r="K476" s="30"/>
      <c r="L476" s="31"/>
    </row>
    <row r="477" spans="1:12" ht="17.25" thickBot="1" x14ac:dyDescent="0.3">
      <c r="A477" s="42"/>
      <c r="B477" s="42" t="s">
        <v>533</v>
      </c>
      <c r="C477" s="43">
        <v>147000000</v>
      </c>
      <c r="D477" s="42" t="s">
        <v>89</v>
      </c>
      <c r="E477" s="43">
        <v>143734000</v>
      </c>
      <c r="F477" s="43">
        <f>C477-G477</f>
        <v>3266000</v>
      </c>
      <c r="G477" s="43">
        <v>143734000</v>
      </c>
      <c r="H477" s="44">
        <v>100</v>
      </c>
      <c r="I477" s="28"/>
      <c r="J477" s="29"/>
      <c r="K477" s="30"/>
      <c r="L477" s="31"/>
    </row>
    <row r="478" spans="1:12" ht="17.25" thickBot="1" x14ac:dyDescent="0.3">
      <c r="A478" s="42"/>
      <c r="B478" s="42" t="s">
        <v>534</v>
      </c>
      <c r="C478" s="43">
        <v>147000000</v>
      </c>
      <c r="D478" s="42" t="s">
        <v>89</v>
      </c>
      <c r="E478" s="43">
        <v>144375000</v>
      </c>
      <c r="F478" s="43">
        <f>C478-G478</f>
        <v>2625000</v>
      </c>
      <c r="G478" s="43">
        <f>144375000</f>
        <v>144375000</v>
      </c>
      <c r="H478" s="44">
        <v>100</v>
      </c>
      <c r="I478" s="28"/>
      <c r="J478" s="29">
        <v>2985000</v>
      </c>
      <c r="K478" s="30"/>
      <c r="L478" s="31"/>
    </row>
    <row r="479" spans="1:12" ht="17.25" thickBot="1" x14ac:dyDescent="0.3">
      <c r="A479" s="42"/>
      <c r="B479" s="42" t="s">
        <v>535</v>
      </c>
      <c r="C479" s="43">
        <v>195000000</v>
      </c>
      <c r="D479" s="42" t="s">
        <v>89</v>
      </c>
      <c r="E479" s="43">
        <v>191861000</v>
      </c>
      <c r="F479" s="43">
        <f>C479-G479</f>
        <v>3139000</v>
      </c>
      <c r="G479" s="43">
        <v>191861000</v>
      </c>
      <c r="H479" s="44">
        <v>100</v>
      </c>
      <c r="I479" s="28"/>
      <c r="J479" s="29"/>
      <c r="K479" s="30"/>
      <c r="L479" s="31"/>
    </row>
    <row r="480" spans="1:12" ht="17.25" thickBot="1" x14ac:dyDescent="0.3">
      <c r="A480" s="42"/>
      <c r="B480" s="42" t="s">
        <v>536</v>
      </c>
      <c r="C480" s="43">
        <v>147000000</v>
      </c>
      <c r="D480" s="42" t="s">
        <v>89</v>
      </c>
      <c r="E480" s="43">
        <v>143381000</v>
      </c>
      <c r="F480" s="43">
        <f>C480-G480</f>
        <v>3619000</v>
      </c>
      <c r="G480" s="43">
        <v>143381000</v>
      </c>
      <c r="H480" s="44">
        <v>100</v>
      </c>
      <c r="I480" s="28"/>
      <c r="J480" s="29"/>
      <c r="K480" s="30"/>
      <c r="L480" s="31"/>
    </row>
    <row r="481" spans="1:12" ht="17.25" thickBot="1" x14ac:dyDescent="0.3">
      <c r="A481" s="42"/>
      <c r="B481" s="42" t="s">
        <v>537</v>
      </c>
      <c r="C481" s="43">
        <v>195000000</v>
      </c>
      <c r="D481" s="42" t="s">
        <v>89</v>
      </c>
      <c r="E481" s="43">
        <v>192413000</v>
      </c>
      <c r="F481" s="43">
        <f>C481-G481</f>
        <v>2587000</v>
      </c>
      <c r="G481" s="43">
        <v>192413000</v>
      </c>
      <c r="H481" s="44">
        <v>100</v>
      </c>
      <c r="I481" s="28"/>
      <c r="J481" s="29"/>
      <c r="K481" s="30"/>
      <c r="L481" s="31"/>
    </row>
    <row r="482" spans="1:12" ht="17.25" thickBot="1" x14ac:dyDescent="0.3">
      <c r="A482" s="42"/>
      <c r="B482" s="42" t="s">
        <v>538</v>
      </c>
      <c r="C482" s="43">
        <v>195000000</v>
      </c>
      <c r="D482" s="42" t="s">
        <v>89</v>
      </c>
      <c r="E482" s="43">
        <v>192300000</v>
      </c>
      <c r="F482" s="43">
        <f>C482-G482</f>
        <v>2700000</v>
      </c>
      <c r="G482" s="43">
        <v>192300000</v>
      </c>
      <c r="H482" s="44">
        <v>100</v>
      </c>
      <c r="I482" s="28"/>
      <c r="J482" s="29"/>
      <c r="K482" s="30"/>
      <c r="L482" s="31"/>
    </row>
    <row r="483" spans="1:12" ht="17.25" thickBot="1" x14ac:dyDescent="0.3">
      <c r="A483" s="42"/>
      <c r="B483" s="42" t="s">
        <v>539</v>
      </c>
      <c r="C483" s="43">
        <v>195000000</v>
      </c>
      <c r="D483" s="42" t="s">
        <v>89</v>
      </c>
      <c r="E483" s="43">
        <v>192165000</v>
      </c>
      <c r="F483" s="43">
        <f>C483-G483</f>
        <v>2835000</v>
      </c>
      <c r="G483" s="43">
        <v>192165000</v>
      </c>
      <c r="H483" s="44">
        <v>100</v>
      </c>
      <c r="I483" s="28"/>
      <c r="J483" s="29"/>
      <c r="K483" s="30"/>
      <c r="L483" s="31"/>
    </row>
    <row r="484" spans="1:12" ht="17.25" thickBot="1" x14ac:dyDescent="0.3">
      <c r="A484" s="42"/>
      <c r="B484" s="42" t="s">
        <v>540</v>
      </c>
      <c r="C484" s="43">
        <v>195000000</v>
      </c>
      <c r="D484" s="42" t="s">
        <v>89</v>
      </c>
      <c r="E484" s="43">
        <v>192389000</v>
      </c>
      <c r="F484" s="43">
        <f>C484-G484</f>
        <v>2611000</v>
      </c>
      <c r="G484" s="43">
        <v>192389000</v>
      </c>
      <c r="H484" s="44">
        <v>100</v>
      </c>
      <c r="I484" s="28"/>
      <c r="J484" s="29"/>
      <c r="K484" s="30"/>
      <c r="L484" s="31"/>
    </row>
    <row r="485" spans="1:12" ht="17.25" thickBot="1" x14ac:dyDescent="0.3">
      <c r="A485" s="42"/>
      <c r="B485" s="42" t="s">
        <v>541</v>
      </c>
      <c r="C485" s="43">
        <v>195000000</v>
      </c>
      <c r="D485" s="42" t="s">
        <v>89</v>
      </c>
      <c r="E485" s="43">
        <v>192613000</v>
      </c>
      <c r="F485" s="43">
        <f>C485-G485</f>
        <v>2387000</v>
      </c>
      <c r="G485" s="43">
        <v>192613000</v>
      </c>
      <c r="H485" s="44">
        <v>100</v>
      </c>
      <c r="I485" s="28"/>
      <c r="J485" s="29"/>
      <c r="K485" s="30"/>
      <c r="L485" s="31"/>
    </row>
    <row r="486" spans="1:12" ht="17.25" thickBot="1" x14ac:dyDescent="0.3">
      <c r="A486" s="42"/>
      <c r="B486" s="42" t="s">
        <v>542</v>
      </c>
      <c r="C486" s="43">
        <v>195000000</v>
      </c>
      <c r="D486" s="42" t="s">
        <v>89</v>
      </c>
      <c r="E486" s="43">
        <v>192394000</v>
      </c>
      <c r="F486" s="43">
        <f>C486-G486</f>
        <v>2606000</v>
      </c>
      <c r="G486" s="43">
        <v>192394000</v>
      </c>
      <c r="H486" s="44">
        <v>100</v>
      </c>
      <c r="I486" s="28"/>
      <c r="J486" s="29"/>
      <c r="K486" s="30"/>
      <c r="L486" s="31"/>
    </row>
    <row r="487" spans="1:12" ht="17.25" thickBot="1" x14ac:dyDescent="0.3">
      <c r="A487" s="42"/>
      <c r="B487" s="42" t="s">
        <v>543</v>
      </c>
      <c r="C487" s="43">
        <v>195000000</v>
      </c>
      <c r="D487" s="42" t="s">
        <v>89</v>
      </c>
      <c r="E487" s="43">
        <v>191788000</v>
      </c>
      <c r="F487" s="43">
        <f>C487-G487</f>
        <v>3212000</v>
      </c>
      <c r="G487" s="43">
        <v>191788000</v>
      </c>
      <c r="H487" s="44">
        <v>100</v>
      </c>
      <c r="I487" s="28"/>
      <c r="J487" s="29"/>
      <c r="K487" s="30"/>
      <c r="L487" s="31"/>
    </row>
    <row r="488" spans="1:12" ht="17.25" thickBot="1" x14ac:dyDescent="0.3">
      <c r="A488" s="42"/>
      <c r="B488" s="42" t="s">
        <v>544</v>
      </c>
      <c r="C488" s="43">
        <v>195000000</v>
      </c>
      <c r="D488" s="42" t="s">
        <v>89</v>
      </c>
      <c r="E488" s="43">
        <v>192053000</v>
      </c>
      <c r="F488" s="43">
        <f>C488-G488</f>
        <v>2947000</v>
      </c>
      <c r="G488" s="43">
        <v>192053000</v>
      </c>
      <c r="H488" s="44">
        <v>100</v>
      </c>
      <c r="I488" s="28"/>
      <c r="J488" s="29"/>
      <c r="K488" s="30"/>
      <c r="L488" s="31"/>
    </row>
    <row r="489" spans="1:12" ht="17.25" thickBot="1" x14ac:dyDescent="0.3">
      <c r="A489" s="42"/>
      <c r="B489" s="42" t="s">
        <v>545</v>
      </c>
      <c r="C489" s="43">
        <v>195000000</v>
      </c>
      <c r="D489" s="42" t="s">
        <v>89</v>
      </c>
      <c r="E489" s="43">
        <v>191289000</v>
      </c>
      <c r="F489" s="43">
        <f>C489-G489</f>
        <v>3711000</v>
      </c>
      <c r="G489" s="43">
        <f>191289000</f>
        <v>191289000</v>
      </c>
      <c r="H489" s="44">
        <v>100</v>
      </c>
      <c r="I489" s="28"/>
      <c r="J489" s="29">
        <v>6587000</v>
      </c>
      <c r="K489" s="30"/>
      <c r="L489" s="31"/>
    </row>
    <row r="490" spans="1:12" ht="17.25" thickBot="1" x14ac:dyDescent="0.3">
      <c r="A490" s="42"/>
      <c r="B490" s="42" t="s">
        <v>546</v>
      </c>
      <c r="C490" s="43">
        <v>195000000</v>
      </c>
      <c r="D490" s="42" t="s">
        <v>89</v>
      </c>
      <c r="E490" s="43">
        <v>192652000</v>
      </c>
      <c r="F490" s="43">
        <f>C490-G490</f>
        <v>2348000</v>
      </c>
      <c r="G490" s="43">
        <v>192652000</v>
      </c>
      <c r="H490" s="44">
        <v>100</v>
      </c>
      <c r="I490" s="28"/>
      <c r="J490" s="29"/>
      <c r="K490" s="30"/>
      <c r="L490" s="31"/>
    </row>
    <row r="491" spans="1:12" ht="17.25" thickBot="1" x14ac:dyDescent="0.3">
      <c r="A491" s="42"/>
      <c r="B491" s="42" t="s">
        <v>547</v>
      </c>
      <c r="C491" s="43">
        <v>195000000</v>
      </c>
      <c r="D491" s="42" t="s">
        <v>89</v>
      </c>
      <c r="E491" s="43">
        <v>192529000</v>
      </c>
      <c r="F491" s="43">
        <f>C491-G491</f>
        <v>2471000</v>
      </c>
      <c r="G491" s="43">
        <v>192529000</v>
      </c>
      <c r="H491" s="44">
        <v>100</v>
      </c>
      <c r="I491" s="28"/>
      <c r="J491" s="29"/>
      <c r="K491" s="30"/>
      <c r="L491" s="31"/>
    </row>
    <row r="492" spans="1:12" ht="17.25" thickBot="1" x14ac:dyDescent="0.3">
      <c r="A492" s="42"/>
      <c r="B492" s="42" t="s">
        <v>548</v>
      </c>
      <c r="C492" s="43">
        <v>195000000</v>
      </c>
      <c r="D492" s="42" t="s">
        <v>89</v>
      </c>
      <c r="E492" s="43">
        <v>192057000</v>
      </c>
      <c r="F492" s="43">
        <f>C492-G492</f>
        <v>2943000</v>
      </c>
      <c r="G492" s="43">
        <v>192057000</v>
      </c>
      <c r="H492" s="44">
        <v>100</v>
      </c>
      <c r="I492" s="28"/>
      <c r="J492" s="29"/>
      <c r="K492" s="30"/>
      <c r="L492" s="31"/>
    </row>
    <row r="493" spans="1:12" ht="17.25" thickBot="1" x14ac:dyDescent="0.3">
      <c r="A493" s="42"/>
      <c r="B493" s="42" t="s">
        <v>549</v>
      </c>
      <c r="C493" s="43">
        <v>195000000</v>
      </c>
      <c r="D493" s="42" t="s">
        <v>89</v>
      </c>
      <c r="E493" s="43">
        <v>192682000</v>
      </c>
      <c r="F493" s="43">
        <f>C493-G493</f>
        <v>2318000</v>
      </c>
      <c r="G493" s="43">
        <v>192682000</v>
      </c>
      <c r="H493" s="44">
        <v>100</v>
      </c>
      <c r="I493" s="28"/>
      <c r="J493" s="29"/>
      <c r="K493" s="30"/>
      <c r="L493" s="31"/>
    </row>
    <row r="494" spans="1:12" ht="17.25" thickBot="1" x14ac:dyDescent="0.3">
      <c r="A494" s="42"/>
      <c r="B494" s="42" t="s">
        <v>550</v>
      </c>
      <c r="C494" s="43">
        <v>195000000</v>
      </c>
      <c r="D494" s="42" t="s">
        <v>89</v>
      </c>
      <c r="E494" s="43">
        <v>192529000</v>
      </c>
      <c r="F494" s="43">
        <f>C494-G494</f>
        <v>2471000</v>
      </c>
      <c r="G494" s="43">
        <v>192529000</v>
      </c>
      <c r="H494" s="44">
        <v>100</v>
      </c>
      <c r="I494" s="28"/>
      <c r="J494" s="29"/>
      <c r="K494" s="30"/>
      <c r="L494" s="31"/>
    </row>
    <row r="495" spans="1:12" ht="17.25" thickBot="1" x14ac:dyDescent="0.3">
      <c r="A495" s="42"/>
      <c r="B495" s="42" t="s">
        <v>551</v>
      </c>
      <c r="C495" s="43">
        <v>195000000</v>
      </c>
      <c r="D495" s="42" t="s">
        <v>89</v>
      </c>
      <c r="E495" s="43">
        <v>192306000</v>
      </c>
      <c r="F495" s="43">
        <f>C495-G495</f>
        <v>2694000</v>
      </c>
      <c r="G495" s="43">
        <v>192306000</v>
      </c>
      <c r="H495" s="44">
        <v>100</v>
      </c>
      <c r="I495" s="28"/>
      <c r="J495" s="29"/>
      <c r="K495" s="30"/>
      <c r="L495" s="31"/>
    </row>
    <row r="496" spans="1:12" ht="17.25" thickBot="1" x14ac:dyDescent="0.3">
      <c r="A496" s="42"/>
      <c r="B496" s="42" t="s">
        <v>552</v>
      </c>
      <c r="C496" s="43">
        <v>147000000</v>
      </c>
      <c r="D496" s="42" t="s">
        <v>89</v>
      </c>
      <c r="E496" s="43">
        <v>144606000</v>
      </c>
      <c r="F496" s="43">
        <f>C496-G496</f>
        <v>2394000</v>
      </c>
      <c r="G496" s="43">
        <v>144606000</v>
      </c>
      <c r="H496" s="44">
        <v>100</v>
      </c>
      <c r="I496" s="28"/>
      <c r="J496" s="29"/>
      <c r="K496" s="30"/>
      <c r="L496" s="31"/>
    </row>
    <row r="497" spans="1:12" ht="17.25" thickBot="1" x14ac:dyDescent="0.3">
      <c r="A497" s="42"/>
      <c r="B497" s="42" t="s">
        <v>553</v>
      </c>
      <c r="C497" s="43">
        <v>195000000</v>
      </c>
      <c r="D497" s="42" t="s">
        <v>89</v>
      </c>
      <c r="E497" s="43">
        <v>192221000</v>
      </c>
      <c r="F497" s="43">
        <f>C497-G497</f>
        <v>2779000</v>
      </c>
      <c r="G497" s="43">
        <v>192221000</v>
      </c>
      <c r="H497" s="44">
        <v>100</v>
      </c>
      <c r="I497" s="28"/>
      <c r="J497" s="29"/>
      <c r="K497" s="30"/>
      <c r="L497" s="31"/>
    </row>
    <row r="498" spans="1:12" ht="17.25" thickBot="1" x14ac:dyDescent="0.3">
      <c r="A498" s="42"/>
      <c r="B498" s="42" t="s">
        <v>554</v>
      </c>
      <c r="C498" s="43">
        <v>195000000</v>
      </c>
      <c r="D498" s="42" t="s">
        <v>89</v>
      </c>
      <c r="E498" s="43">
        <v>192000000</v>
      </c>
      <c r="F498" s="43">
        <f>C498-G498</f>
        <v>3000000</v>
      </c>
      <c r="G498" s="43">
        <v>192000000</v>
      </c>
      <c r="H498" s="44">
        <v>100</v>
      </c>
      <c r="I498" s="28"/>
      <c r="J498" s="29"/>
      <c r="K498" s="30"/>
      <c r="L498" s="31"/>
    </row>
    <row r="499" spans="1:12" ht="17.25" thickBot="1" x14ac:dyDescent="0.3">
      <c r="A499" s="42"/>
      <c r="B499" s="42" t="s">
        <v>555</v>
      </c>
      <c r="C499" s="43">
        <v>195000000</v>
      </c>
      <c r="D499" s="42" t="s">
        <v>89</v>
      </c>
      <c r="E499" s="43">
        <v>191897000</v>
      </c>
      <c r="F499" s="43">
        <f>C499-G499</f>
        <v>3103000</v>
      </c>
      <c r="G499" s="43">
        <v>191897000</v>
      </c>
      <c r="H499" s="44">
        <v>100</v>
      </c>
      <c r="I499" s="28"/>
      <c r="J499" s="29"/>
      <c r="K499" s="30"/>
      <c r="L499" s="31"/>
    </row>
    <row r="500" spans="1:12" ht="17.25" thickBot="1" x14ac:dyDescent="0.3">
      <c r="A500" s="42"/>
      <c r="B500" s="42" t="s">
        <v>556</v>
      </c>
      <c r="C500" s="43">
        <v>100000000</v>
      </c>
      <c r="D500" s="42" t="s">
        <v>89</v>
      </c>
      <c r="E500" s="43">
        <v>98106000</v>
      </c>
      <c r="F500" s="43">
        <f>C500-G500</f>
        <v>1894000</v>
      </c>
      <c r="G500" s="43">
        <v>98106000</v>
      </c>
      <c r="H500" s="44">
        <v>100</v>
      </c>
      <c r="I500" s="28"/>
      <c r="J500" s="29"/>
      <c r="K500" s="30"/>
      <c r="L500" s="31"/>
    </row>
    <row r="501" spans="1:12" s="60" customFormat="1" ht="14.25" thickBot="1" x14ac:dyDescent="0.3">
      <c r="A501" s="42"/>
      <c r="B501" s="42" t="s">
        <v>557</v>
      </c>
      <c r="C501" s="43">
        <v>195000000</v>
      </c>
      <c r="D501" s="42" t="s">
        <v>89</v>
      </c>
      <c r="E501" s="43">
        <v>190439000</v>
      </c>
      <c r="F501" s="43">
        <f>C501-G501</f>
        <v>4561000</v>
      </c>
      <c r="G501" s="43">
        <f>190439000</f>
        <v>190439000</v>
      </c>
      <c r="H501" s="44">
        <v>100</v>
      </c>
      <c r="I501" s="28"/>
      <c r="J501" s="29">
        <v>1596000</v>
      </c>
      <c r="K501" s="29"/>
      <c r="L501" s="28"/>
    </row>
    <row r="502" spans="1:12" s="60" customFormat="1" ht="14.25" thickBot="1" x14ac:dyDescent="0.3">
      <c r="A502" s="42"/>
      <c r="B502" s="42" t="s">
        <v>558</v>
      </c>
      <c r="C502" s="43">
        <v>195000000</v>
      </c>
      <c r="D502" s="42" t="s">
        <v>89</v>
      </c>
      <c r="E502" s="43">
        <v>192247000</v>
      </c>
      <c r="F502" s="43">
        <f>C502-G502</f>
        <v>2753000</v>
      </c>
      <c r="G502" s="43">
        <f>192247000</f>
        <v>192247000</v>
      </c>
      <c r="H502" s="44">
        <v>100</v>
      </c>
      <c r="I502" s="28"/>
      <c r="J502" s="29">
        <v>3201000</v>
      </c>
      <c r="K502" s="29"/>
      <c r="L502" s="28"/>
    </row>
    <row r="503" spans="1:12" s="60" customFormat="1" ht="14.25" thickBot="1" x14ac:dyDescent="0.3">
      <c r="A503" s="42"/>
      <c r="B503" s="42" t="s">
        <v>559</v>
      </c>
      <c r="C503" s="43">
        <v>195000000</v>
      </c>
      <c r="D503" s="42" t="s">
        <v>89</v>
      </c>
      <c r="E503" s="43">
        <v>190807000</v>
      </c>
      <c r="F503" s="43">
        <f>C503-G503</f>
        <v>4193000</v>
      </c>
      <c r="G503" s="43">
        <v>190807000</v>
      </c>
      <c r="H503" s="44">
        <v>100</v>
      </c>
      <c r="I503" s="28"/>
      <c r="J503" s="29"/>
      <c r="K503" s="29"/>
      <c r="L503" s="28"/>
    </row>
    <row r="504" spans="1:12" s="60" customFormat="1" ht="14.25" thickBot="1" x14ac:dyDescent="0.3">
      <c r="A504" s="42"/>
      <c r="B504" s="42" t="s">
        <v>560</v>
      </c>
      <c r="C504" s="43">
        <v>195000000</v>
      </c>
      <c r="D504" s="42" t="s">
        <v>89</v>
      </c>
      <c r="E504" s="43">
        <v>191091000</v>
      </c>
      <c r="F504" s="43">
        <f>C504-G504</f>
        <v>3909000</v>
      </c>
      <c r="G504" s="43">
        <v>191091000</v>
      </c>
      <c r="H504" s="44">
        <v>100</v>
      </c>
      <c r="I504" s="28"/>
      <c r="J504" s="29"/>
      <c r="K504" s="29"/>
      <c r="L504" s="28"/>
    </row>
    <row r="505" spans="1:12" s="60" customFormat="1" ht="14.25" thickBot="1" x14ac:dyDescent="0.3">
      <c r="A505" s="42"/>
      <c r="B505" s="42" t="s">
        <v>561</v>
      </c>
      <c r="C505" s="43">
        <v>195000000</v>
      </c>
      <c r="D505" s="42" t="s">
        <v>89</v>
      </c>
      <c r="E505" s="43">
        <v>190588000</v>
      </c>
      <c r="F505" s="43">
        <f>C505-G505</f>
        <v>4412000</v>
      </c>
      <c r="G505" s="43">
        <f>190588000</f>
        <v>190588000</v>
      </c>
      <c r="H505" s="44">
        <v>100</v>
      </c>
      <c r="I505" s="28"/>
      <c r="J505" s="29">
        <v>8304000</v>
      </c>
      <c r="K505" s="29"/>
      <c r="L505" s="28"/>
    </row>
    <row r="506" spans="1:12" ht="17.25" thickBot="1" x14ac:dyDescent="0.3">
      <c r="A506" s="42"/>
      <c r="B506" s="42" t="s">
        <v>562</v>
      </c>
      <c r="C506" s="43">
        <v>195000000</v>
      </c>
      <c r="D506" s="42" t="s">
        <v>89</v>
      </c>
      <c r="E506" s="43">
        <v>192240000</v>
      </c>
      <c r="F506" s="43">
        <f>C506-G506</f>
        <v>2760000</v>
      </c>
      <c r="G506" s="43">
        <v>192240000</v>
      </c>
      <c r="H506" s="44">
        <v>100</v>
      </c>
      <c r="I506" s="28"/>
      <c r="J506" s="29"/>
      <c r="K506" s="30"/>
      <c r="L506" s="31"/>
    </row>
    <row r="507" spans="1:12" ht="17.25" thickBot="1" x14ac:dyDescent="0.3">
      <c r="A507" s="42"/>
      <c r="B507" s="42" t="s">
        <v>563</v>
      </c>
      <c r="C507" s="43">
        <v>195000000</v>
      </c>
      <c r="D507" s="42" t="s">
        <v>89</v>
      </c>
      <c r="E507" s="43">
        <v>191414000</v>
      </c>
      <c r="F507" s="43">
        <f>C507-G507</f>
        <v>3586000</v>
      </c>
      <c r="G507" s="43">
        <v>191414000</v>
      </c>
      <c r="H507" s="44">
        <v>100</v>
      </c>
      <c r="I507" s="28"/>
      <c r="J507" s="29"/>
      <c r="K507" s="30"/>
      <c r="L507" s="31"/>
    </row>
    <row r="508" spans="1:12" ht="17.25" thickBot="1" x14ac:dyDescent="0.3">
      <c r="A508" s="42"/>
      <c r="B508" s="42" t="s">
        <v>564</v>
      </c>
      <c r="C508" s="43">
        <v>195000000</v>
      </c>
      <c r="D508" s="42" t="s">
        <v>89</v>
      </c>
      <c r="E508" s="43">
        <v>192611000</v>
      </c>
      <c r="F508" s="43">
        <f>C508-G508</f>
        <v>2389000</v>
      </c>
      <c r="G508" s="43">
        <v>192611000</v>
      </c>
      <c r="H508" s="44">
        <v>100</v>
      </c>
      <c r="I508" s="28"/>
      <c r="J508" s="29"/>
      <c r="K508" s="30"/>
      <c r="L508" s="31"/>
    </row>
    <row r="509" spans="1:12" ht="17.25" thickBot="1" x14ac:dyDescent="0.3">
      <c r="A509" s="42"/>
      <c r="B509" s="42" t="s">
        <v>565</v>
      </c>
      <c r="C509" s="43">
        <v>240000000</v>
      </c>
      <c r="D509" s="42" t="s">
        <v>89</v>
      </c>
      <c r="E509" s="43">
        <v>232233700</v>
      </c>
      <c r="F509" s="43">
        <f>C509-G509</f>
        <v>7766300</v>
      </c>
      <c r="G509" s="43">
        <f>232233700</f>
        <v>232233700</v>
      </c>
      <c r="H509" s="44">
        <v>100</v>
      </c>
      <c r="I509" s="28"/>
      <c r="J509" s="29">
        <v>5784000</v>
      </c>
      <c r="K509" s="30"/>
      <c r="L509" s="31"/>
    </row>
    <row r="510" spans="1:12" ht="17.25" thickBot="1" x14ac:dyDescent="0.3">
      <c r="A510" s="42"/>
      <c r="B510" s="42" t="s">
        <v>566</v>
      </c>
      <c r="C510" s="43">
        <v>195000000</v>
      </c>
      <c r="D510" s="42" t="s">
        <v>89</v>
      </c>
      <c r="E510" s="43">
        <v>192590000</v>
      </c>
      <c r="F510" s="43">
        <f>C510-G510</f>
        <v>2410000</v>
      </c>
      <c r="G510" s="43">
        <v>192590000</v>
      </c>
      <c r="H510" s="44">
        <v>100</v>
      </c>
      <c r="I510" s="28"/>
      <c r="J510" s="29"/>
      <c r="K510" s="30"/>
      <c r="L510" s="31"/>
    </row>
    <row r="511" spans="1:12" ht="17.25" thickBot="1" x14ac:dyDescent="0.3">
      <c r="A511" s="42"/>
      <c r="B511" s="42" t="s">
        <v>567</v>
      </c>
      <c r="C511" s="43">
        <v>195000000</v>
      </c>
      <c r="D511" s="42" t="s">
        <v>89</v>
      </c>
      <c r="E511" s="43">
        <v>192570000</v>
      </c>
      <c r="F511" s="43">
        <f>C511-G511</f>
        <v>2430000</v>
      </c>
      <c r="G511" s="43">
        <v>192570000</v>
      </c>
      <c r="H511" s="44">
        <v>100</v>
      </c>
      <c r="I511" s="28"/>
      <c r="J511" s="29"/>
      <c r="K511" s="30"/>
      <c r="L511" s="31"/>
    </row>
    <row r="512" spans="1:12" ht="17.25" thickBot="1" x14ac:dyDescent="0.3">
      <c r="A512" s="42"/>
      <c r="B512" s="42" t="s">
        <v>568</v>
      </c>
      <c r="C512" s="43">
        <v>195000000</v>
      </c>
      <c r="D512" s="42" t="s">
        <v>89</v>
      </c>
      <c r="E512" s="43">
        <v>191230000</v>
      </c>
      <c r="F512" s="43">
        <f>C512-G512</f>
        <v>3770000</v>
      </c>
      <c r="G512" s="43">
        <v>191230000</v>
      </c>
      <c r="H512" s="44">
        <v>100</v>
      </c>
      <c r="I512" s="28"/>
      <c r="J512" s="29"/>
      <c r="K512" s="30"/>
      <c r="L512" s="31"/>
    </row>
    <row r="513" spans="1:12" ht="17.25" thickBot="1" x14ac:dyDescent="0.3">
      <c r="A513" s="42"/>
      <c r="B513" s="42" t="s">
        <v>569</v>
      </c>
      <c r="C513" s="43">
        <v>195000000</v>
      </c>
      <c r="D513" s="42" t="s">
        <v>89</v>
      </c>
      <c r="E513" s="43">
        <v>191180000</v>
      </c>
      <c r="F513" s="43">
        <f>C513-G513</f>
        <v>3820000</v>
      </c>
      <c r="G513" s="43">
        <v>191180000</v>
      </c>
      <c r="H513" s="44">
        <v>100</v>
      </c>
      <c r="I513" s="28"/>
      <c r="J513" s="29"/>
      <c r="K513" s="30"/>
      <c r="L513" s="31"/>
    </row>
    <row r="514" spans="1:12" ht="17.25" thickBot="1" x14ac:dyDescent="0.3">
      <c r="A514" s="42"/>
      <c r="B514" s="42" t="s">
        <v>570</v>
      </c>
      <c r="C514" s="43">
        <v>195000000</v>
      </c>
      <c r="D514" s="42" t="s">
        <v>89</v>
      </c>
      <c r="E514" s="43">
        <v>191210000</v>
      </c>
      <c r="F514" s="43">
        <f>C514-G514</f>
        <v>3790000</v>
      </c>
      <c r="G514" s="43">
        <v>191210000</v>
      </c>
      <c r="H514" s="44">
        <v>100</v>
      </c>
      <c r="I514" s="28"/>
      <c r="J514" s="29"/>
      <c r="K514" s="30"/>
      <c r="L514" s="31"/>
    </row>
    <row r="515" spans="1:12" ht="17.25" thickBot="1" x14ac:dyDescent="0.3">
      <c r="A515" s="42"/>
      <c r="B515" s="42" t="s">
        <v>571</v>
      </c>
      <c r="C515" s="43">
        <v>195000000</v>
      </c>
      <c r="D515" s="42" t="s">
        <v>89</v>
      </c>
      <c r="E515" s="43">
        <v>192392000</v>
      </c>
      <c r="F515" s="43">
        <f>C515-G515</f>
        <v>2608000</v>
      </c>
      <c r="G515" s="43">
        <v>192392000</v>
      </c>
      <c r="H515" s="44">
        <v>100</v>
      </c>
      <c r="I515" s="28"/>
      <c r="J515" s="29"/>
      <c r="K515" s="30"/>
      <c r="L515" s="31"/>
    </row>
    <row r="516" spans="1:12" ht="17.25" thickBot="1" x14ac:dyDescent="0.3">
      <c r="A516" s="42"/>
      <c r="B516" s="42" t="s">
        <v>572</v>
      </c>
      <c r="C516" s="43">
        <v>195000000</v>
      </c>
      <c r="D516" s="42" t="s">
        <v>89</v>
      </c>
      <c r="E516" s="43">
        <v>192318000</v>
      </c>
      <c r="F516" s="43">
        <f>C516-G516</f>
        <v>2682000</v>
      </c>
      <c r="G516" s="43">
        <v>192318000</v>
      </c>
      <c r="H516" s="44">
        <v>100</v>
      </c>
      <c r="I516" s="28"/>
      <c r="J516" s="29"/>
      <c r="K516" s="30"/>
      <c r="L516" s="31"/>
    </row>
    <row r="517" spans="1:12" ht="17.25" thickBot="1" x14ac:dyDescent="0.3">
      <c r="A517" s="42"/>
      <c r="B517" s="42" t="s">
        <v>573</v>
      </c>
      <c r="C517" s="43">
        <v>147000000</v>
      </c>
      <c r="D517" s="42" t="s">
        <v>89</v>
      </c>
      <c r="E517" s="43">
        <v>142970000</v>
      </c>
      <c r="F517" s="43">
        <f>C517-G517</f>
        <v>4030000</v>
      </c>
      <c r="G517" s="43">
        <v>142970000</v>
      </c>
      <c r="H517" s="44">
        <v>100</v>
      </c>
      <c r="I517" s="28"/>
      <c r="J517" s="29"/>
      <c r="K517" s="30"/>
      <c r="L517" s="31"/>
    </row>
    <row r="518" spans="1:12" ht="17.25" thickBot="1" x14ac:dyDescent="0.3">
      <c r="A518" s="42"/>
      <c r="B518" s="42" t="s">
        <v>574</v>
      </c>
      <c r="C518" s="43">
        <v>147000000</v>
      </c>
      <c r="D518" s="42" t="s">
        <v>89</v>
      </c>
      <c r="E518" s="43">
        <v>144145000</v>
      </c>
      <c r="F518" s="43">
        <f>C518-G518</f>
        <v>2855000</v>
      </c>
      <c r="G518" s="43">
        <v>144145000</v>
      </c>
      <c r="H518" s="44">
        <v>100</v>
      </c>
      <c r="I518" s="28"/>
      <c r="J518" s="29"/>
      <c r="K518" s="30"/>
      <c r="L518" s="31"/>
    </row>
    <row r="519" spans="1:12" ht="17.25" thickBot="1" x14ac:dyDescent="0.3">
      <c r="A519" s="42"/>
      <c r="B519" s="42" t="s">
        <v>575</v>
      </c>
      <c r="C519" s="43">
        <v>147000000</v>
      </c>
      <c r="D519" s="42" t="s">
        <v>89</v>
      </c>
      <c r="E519" s="43">
        <v>144140000</v>
      </c>
      <c r="F519" s="43">
        <f>C519-G519</f>
        <v>2860000</v>
      </c>
      <c r="G519" s="43">
        <v>144140000</v>
      </c>
      <c r="H519" s="44">
        <v>100</v>
      </c>
      <c r="I519" s="28"/>
      <c r="J519" s="29"/>
      <c r="K519" s="30"/>
      <c r="L519" s="31"/>
    </row>
    <row r="520" spans="1:12" ht="17.25" thickBot="1" x14ac:dyDescent="0.3">
      <c r="A520" s="42"/>
      <c r="B520" s="42" t="s">
        <v>576</v>
      </c>
      <c r="C520" s="43">
        <v>195000000</v>
      </c>
      <c r="D520" s="42" t="s">
        <v>89</v>
      </c>
      <c r="E520" s="43">
        <v>192566000</v>
      </c>
      <c r="F520" s="43">
        <f>C520-G520</f>
        <v>2434000</v>
      </c>
      <c r="G520" s="43">
        <v>192566000</v>
      </c>
      <c r="H520" s="44">
        <v>100</v>
      </c>
      <c r="I520" s="28"/>
      <c r="J520" s="29"/>
      <c r="K520" s="30"/>
      <c r="L520" s="31"/>
    </row>
    <row r="521" spans="1:12" ht="17.25" thickBot="1" x14ac:dyDescent="0.3">
      <c r="A521" s="42"/>
      <c r="B521" s="42" t="s">
        <v>577</v>
      </c>
      <c r="C521" s="43">
        <v>195000000</v>
      </c>
      <c r="D521" s="42" t="s">
        <v>89</v>
      </c>
      <c r="E521" s="43">
        <v>192430000</v>
      </c>
      <c r="F521" s="43">
        <f>C521-G521</f>
        <v>2570000</v>
      </c>
      <c r="G521" s="43">
        <v>192430000</v>
      </c>
      <c r="H521" s="44">
        <v>100</v>
      </c>
      <c r="I521" s="28"/>
      <c r="J521" s="29"/>
      <c r="K521" s="30"/>
      <c r="L521" s="31"/>
    </row>
    <row r="522" spans="1:12" ht="17.25" thickBot="1" x14ac:dyDescent="0.3">
      <c r="A522" s="42"/>
      <c r="B522" s="42" t="s">
        <v>578</v>
      </c>
      <c r="C522" s="43">
        <v>195000000</v>
      </c>
      <c r="D522" s="42" t="s">
        <v>89</v>
      </c>
      <c r="E522" s="43">
        <v>192087000</v>
      </c>
      <c r="F522" s="43">
        <f>C522-G522</f>
        <v>2913000</v>
      </c>
      <c r="G522" s="43">
        <v>192087000</v>
      </c>
      <c r="H522" s="44">
        <v>100</v>
      </c>
      <c r="I522" s="28"/>
      <c r="J522" s="29"/>
      <c r="K522" s="30"/>
      <c r="L522" s="31"/>
    </row>
    <row r="523" spans="1:12" ht="17.25" thickBot="1" x14ac:dyDescent="0.3">
      <c r="A523" s="42"/>
      <c r="B523" s="42" t="s">
        <v>579</v>
      </c>
      <c r="C523" s="43">
        <v>195000000</v>
      </c>
      <c r="D523" s="42" t="s">
        <v>89</v>
      </c>
      <c r="E523" s="43">
        <v>192425000</v>
      </c>
      <c r="F523" s="43">
        <f>C523-G523</f>
        <v>2575000</v>
      </c>
      <c r="G523" s="43">
        <v>192425000</v>
      </c>
      <c r="H523" s="44">
        <v>100</v>
      </c>
      <c r="I523" s="28"/>
      <c r="J523" s="29"/>
      <c r="K523" s="30"/>
      <c r="L523" s="31"/>
    </row>
    <row r="524" spans="1:12" ht="17.25" thickBot="1" x14ac:dyDescent="0.3">
      <c r="A524" s="42"/>
      <c r="B524" s="42" t="s">
        <v>580</v>
      </c>
      <c r="C524" s="43">
        <v>195000000</v>
      </c>
      <c r="D524" s="42" t="s">
        <v>89</v>
      </c>
      <c r="E524" s="43">
        <v>192510000</v>
      </c>
      <c r="F524" s="43">
        <f>C524-G524</f>
        <v>2490000</v>
      </c>
      <c r="G524" s="43">
        <f>192510000</f>
        <v>192510000</v>
      </c>
      <c r="H524" s="44">
        <v>100</v>
      </c>
      <c r="I524" s="28"/>
      <c r="J524" s="29">
        <v>11449000</v>
      </c>
      <c r="K524" s="30"/>
      <c r="L524" s="31"/>
    </row>
    <row r="525" spans="1:12" ht="17.25" thickBot="1" x14ac:dyDescent="0.3">
      <c r="A525" s="42"/>
      <c r="B525" s="42" t="s">
        <v>581</v>
      </c>
      <c r="C525" s="43">
        <v>195000000</v>
      </c>
      <c r="D525" s="42" t="s">
        <v>89</v>
      </c>
      <c r="E525" s="43">
        <v>192300000</v>
      </c>
      <c r="F525" s="43">
        <f>C525-G525</f>
        <v>2700000</v>
      </c>
      <c r="G525" s="43">
        <v>192300000</v>
      </c>
      <c r="H525" s="44">
        <v>100</v>
      </c>
      <c r="I525" s="28"/>
      <c r="J525" s="29"/>
      <c r="K525" s="30"/>
      <c r="L525" s="31"/>
    </row>
    <row r="526" spans="1:12" ht="17.25" thickBot="1" x14ac:dyDescent="0.3">
      <c r="A526" s="42"/>
      <c r="B526" s="42" t="s">
        <v>582</v>
      </c>
      <c r="C526" s="43">
        <v>195000000</v>
      </c>
      <c r="D526" s="42" t="s">
        <v>89</v>
      </c>
      <c r="E526" s="43">
        <v>192464000</v>
      </c>
      <c r="F526" s="43">
        <f>C526-G526</f>
        <v>2536000</v>
      </c>
      <c r="G526" s="43">
        <v>192464000</v>
      </c>
      <c r="H526" s="44">
        <v>100</v>
      </c>
      <c r="I526" s="28"/>
      <c r="J526" s="29"/>
      <c r="K526" s="30"/>
      <c r="L526" s="31"/>
    </row>
    <row r="527" spans="1:12" ht="17.25" thickBot="1" x14ac:dyDescent="0.3">
      <c r="A527" s="42"/>
      <c r="B527" s="42" t="s">
        <v>583</v>
      </c>
      <c r="C527" s="43">
        <v>195000000</v>
      </c>
      <c r="D527" s="42" t="s">
        <v>89</v>
      </c>
      <c r="E527" s="43">
        <v>192161000</v>
      </c>
      <c r="F527" s="43">
        <f>C527-G527</f>
        <v>2839000</v>
      </c>
      <c r="G527" s="43">
        <v>192161000</v>
      </c>
      <c r="H527" s="44">
        <v>100</v>
      </c>
      <c r="I527" s="28"/>
      <c r="J527" s="29"/>
      <c r="K527" s="30"/>
      <c r="L527" s="31"/>
    </row>
    <row r="528" spans="1:12" ht="17.25" thickBot="1" x14ac:dyDescent="0.3">
      <c r="A528" s="42"/>
      <c r="B528" s="42" t="s">
        <v>584</v>
      </c>
      <c r="C528" s="43">
        <v>195000000</v>
      </c>
      <c r="D528" s="42" t="s">
        <v>89</v>
      </c>
      <c r="E528" s="43">
        <v>191860000</v>
      </c>
      <c r="F528" s="43">
        <f>C528-G528</f>
        <v>3140000</v>
      </c>
      <c r="G528" s="43">
        <v>191860000</v>
      </c>
      <c r="H528" s="44">
        <v>100</v>
      </c>
      <c r="I528" s="28"/>
      <c r="J528" s="29"/>
      <c r="K528" s="30"/>
      <c r="L528" s="31"/>
    </row>
    <row r="529" spans="1:12" ht="17.25" thickBot="1" x14ac:dyDescent="0.3">
      <c r="A529" s="42"/>
      <c r="B529" s="42" t="s">
        <v>585</v>
      </c>
      <c r="C529" s="43">
        <v>195000000</v>
      </c>
      <c r="D529" s="42" t="s">
        <v>89</v>
      </c>
      <c r="E529" s="43">
        <v>191940000</v>
      </c>
      <c r="F529" s="43">
        <f>C529-G529</f>
        <v>3060000</v>
      </c>
      <c r="G529" s="43">
        <v>191940000</v>
      </c>
      <c r="H529" s="44">
        <v>100</v>
      </c>
      <c r="I529" s="28"/>
      <c r="J529" s="29"/>
      <c r="K529" s="30"/>
      <c r="L529" s="31"/>
    </row>
    <row r="530" spans="1:12" ht="17.25" thickBot="1" x14ac:dyDescent="0.3">
      <c r="A530" s="42"/>
      <c r="B530" s="42" t="s">
        <v>586</v>
      </c>
      <c r="C530" s="43">
        <v>195000000</v>
      </c>
      <c r="D530" s="42" t="s">
        <v>89</v>
      </c>
      <c r="E530" s="43">
        <v>192300000</v>
      </c>
      <c r="F530" s="43">
        <f>C530-G530</f>
        <v>2700000</v>
      </c>
      <c r="G530" s="43">
        <v>192300000</v>
      </c>
      <c r="H530" s="44">
        <v>100</v>
      </c>
      <c r="I530" s="28"/>
      <c r="J530" s="29"/>
      <c r="K530" s="30"/>
      <c r="L530" s="31"/>
    </row>
    <row r="531" spans="1:12" ht="17.25" thickBot="1" x14ac:dyDescent="0.3">
      <c r="A531" s="42"/>
      <c r="B531" s="42" t="s">
        <v>587</v>
      </c>
      <c r="C531" s="43">
        <v>195000000</v>
      </c>
      <c r="D531" s="42" t="s">
        <v>89</v>
      </c>
      <c r="E531" s="43">
        <v>192333000</v>
      </c>
      <c r="F531" s="43">
        <f>C531-G531</f>
        <v>2667000</v>
      </c>
      <c r="G531" s="43">
        <v>192333000</v>
      </c>
      <c r="H531" s="44">
        <v>100</v>
      </c>
      <c r="I531" s="28"/>
      <c r="J531" s="29"/>
      <c r="K531" s="30"/>
      <c r="L531" s="31"/>
    </row>
    <row r="532" spans="1:12" ht="17.25" thickBot="1" x14ac:dyDescent="0.3">
      <c r="A532" s="42"/>
      <c r="B532" s="42" t="s">
        <v>588</v>
      </c>
      <c r="C532" s="43">
        <v>195000000</v>
      </c>
      <c r="D532" s="42" t="s">
        <v>89</v>
      </c>
      <c r="E532" s="43">
        <v>192160000</v>
      </c>
      <c r="F532" s="43">
        <f>C532-G532</f>
        <v>2840000</v>
      </c>
      <c r="G532" s="43">
        <v>192160000</v>
      </c>
      <c r="H532" s="44">
        <v>100</v>
      </c>
      <c r="I532" s="28"/>
      <c r="J532" s="29"/>
      <c r="K532" s="30"/>
      <c r="L532" s="31"/>
    </row>
    <row r="533" spans="1:12" ht="17.25" thickBot="1" x14ac:dyDescent="0.3">
      <c r="A533" s="42"/>
      <c r="B533" s="42" t="s">
        <v>589</v>
      </c>
      <c r="C533" s="43">
        <v>195000000</v>
      </c>
      <c r="D533" s="42" t="s">
        <v>89</v>
      </c>
      <c r="E533" s="43">
        <v>191017000</v>
      </c>
      <c r="F533" s="43">
        <f>C533-G533</f>
        <v>3983000</v>
      </c>
      <c r="G533" s="43">
        <v>191017000</v>
      </c>
      <c r="H533" s="44">
        <v>100</v>
      </c>
      <c r="I533" s="28"/>
      <c r="J533" s="29"/>
      <c r="K533" s="30"/>
      <c r="L533" s="31"/>
    </row>
    <row r="534" spans="1:12" ht="17.25" thickBot="1" x14ac:dyDescent="0.3">
      <c r="A534" s="42"/>
      <c r="B534" s="42" t="s">
        <v>590</v>
      </c>
      <c r="C534" s="43">
        <v>195000000</v>
      </c>
      <c r="D534" s="42" t="s">
        <v>89</v>
      </c>
      <c r="E534" s="43">
        <v>192500000</v>
      </c>
      <c r="F534" s="43">
        <f>C534-G534</f>
        <v>2500000</v>
      </c>
      <c r="G534" s="43">
        <v>192500000</v>
      </c>
      <c r="H534" s="44">
        <v>100</v>
      </c>
      <c r="I534" s="28"/>
      <c r="J534" s="29"/>
      <c r="K534" s="30"/>
      <c r="L534" s="31"/>
    </row>
    <row r="535" spans="1:12" ht="17.25" thickBot="1" x14ac:dyDescent="0.3">
      <c r="A535" s="42"/>
      <c r="B535" s="42" t="s">
        <v>591</v>
      </c>
      <c r="C535" s="43">
        <v>195000000</v>
      </c>
      <c r="D535" s="42" t="s">
        <v>89</v>
      </c>
      <c r="E535" s="43">
        <v>192226000</v>
      </c>
      <c r="F535" s="43">
        <f>C535-G535</f>
        <v>2774000</v>
      </c>
      <c r="G535" s="43">
        <v>192226000</v>
      </c>
      <c r="H535" s="44">
        <v>100</v>
      </c>
      <c r="I535" s="28"/>
      <c r="J535" s="29"/>
      <c r="K535" s="30"/>
      <c r="L535" s="31"/>
    </row>
    <row r="536" spans="1:12" ht="17.25" thickBot="1" x14ac:dyDescent="0.3">
      <c r="A536" s="42"/>
      <c r="B536" s="42" t="s">
        <v>592</v>
      </c>
      <c r="C536" s="43">
        <v>195000000</v>
      </c>
      <c r="D536" s="42" t="s">
        <v>89</v>
      </c>
      <c r="E536" s="43">
        <v>191762000</v>
      </c>
      <c r="F536" s="43">
        <f>C536-G536</f>
        <v>3238000</v>
      </c>
      <c r="G536" s="43">
        <v>191762000</v>
      </c>
      <c r="H536" s="44">
        <v>100</v>
      </c>
      <c r="I536" s="28"/>
      <c r="J536" s="29"/>
      <c r="K536" s="30"/>
      <c r="L536" s="31"/>
    </row>
    <row r="537" spans="1:12" ht="17.25" thickBot="1" x14ac:dyDescent="0.3">
      <c r="A537" s="42"/>
      <c r="B537" s="42" t="s">
        <v>593</v>
      </c>
      <c r="C537" s="43">
        <v>195000000</v>
      </c>
      <c r="D537" s="42" t="s">
        <v>89</v>
      </c>
      <c r="E537" s="43">
        <v>192264000</v>
      </c>
      <c r="F537" s="43">
        <f>C537-G537</f>
        <v>2736000</v>
      </c>
      <c r="G537" s="43">
        <v>192264000</v>
      </c>
      <c r="H537" s="44">
        <v>100</v>
      </c>
      <c r="I537" s="28"/>
      <c r="J537" s="29"/>
      <c r="K537" s="30"/>
      <c r="L537" s="31"/>
    </row>
    <row r="538" spans="1:12" ht="17.25" thickBot="1" x14ac:dyDescent="0.3">
      <c r="A538" s="42"/>
      <c r="B538" s="42" t="s">
        <v>594</v>
      </c>
      <c r="C538" s="43">
        <v>100000000</v>
      </c>
      <c r="D538" s="42" t="s">
        <v>89</v>
      </c>
      <c r="E538" s="43">
        <v>98652000</v>
      </c>
      <c r="F538" s="43">
        <f>C538-G538</f>
        <v>1348000</v>
      </c>
      <c r="G538" s="43">
        <v>98652000</v>
      </c>
      <c r="H538" s="44">
        <v>100</v>
      </c>
      <c r="I538" s="28"/>
      <c r="J538" s="29"/>
      <c r="K538" s="30"/>
      <c r="L538" s="31"/>
    </row>
    <row r="539" spans="1:12" ht="17.25" thickBot="1" x14ac:dyDescent="0.3">
      <c r="A539" s="42"/>
      <c r="B539" s="42" t="s">
        <v>595</v>
      </c>
      <c r="C539" s="43">
        <v>195000000</v>
      </c>
      <c r="D539" s="42" t="s">
        <v>89</v>
      </c>
      <c r="E539" s="43">
        <v>191869000</v>
      </c>
      <c r="F539" s="43">
        <f>C539-G539</f>
        <v>3131000</v>
      </c>
      <c r="G539" s="43">
        <v>191869000</v>
      </c>
      <c r="H539" s="44">
        <v>100</v>
      </c>
      <c r="I539" s="28"/>
      <c r="J539" s="29"/>
      <c r="K539" s="30"/>
      <c r="L539" s="31"/>
    </row>
    <row r="540" spans="1:12" ht="17.25" thickBot="1" x14ac:dyDescent="0.3">
      <c r="A540" s="42"/>
      <c r="B540" s="42" t="s">
        <v>596</v>
      </c>
      <c r="C540" s="43">
        <v>195000000</v>
      </c>
      <c r="D540" s="42" t="s">
        <v>89</v>
      </c>
      <c r="E540" s="43">
        <v>191813000</v>
      </c>
      <c r="F540" s="43">
        <f>C540-G540</f>
        <v>3187000</v>
      </c>
      <c r="G540" s="43">
        <f>191813000</f>
        <v>191813000</v>
      </c>
      <c r="H540" s="44">
        <v>100</v>
      </c>
      <c r="I540" s="28"/>
      <c r="J540" s="29">
        <v>8759000</v>
      </c>
      <c r="K540" s="30"/>
      <c r="L540" s="31"/>
    </row>
    <row r="541" spans="1:12" ht="27.75" thickBot="1" x14ac:dyDescent="0.3">
      <c r="A541" s="42"/>
      <c r="B541" s="42" t="s">
        <v>597</v>
      </c>
      <c r="C541" s="43">
        <v>15000000</v>
      </c>
      <c r="D541" s="42" t="s">
        <v>19</v>
      </c>
      <c r="E541" s="43">
        <v>0</v>
      </c>
      <c r="F541" s="43">
        <f>C541-G541</f>
        <v>0</v>
      </c>
      <c r="G541" s="43">
        <v>15000000</v>
      </c>
      <c r="H541" s="44">
        <v>100</v>
      </c>
      <c r="I541" s="28"/>
      <c r="J541" s="29"/>
      <c r="K541" s="30"/>
      <c r="L541" s="31"/>
    </row>
    <row r="542" spans="1:12" ht="27.75" thickBot="1" x14ac:dyDescent="0.3">
      <c r="A542" s="42"/>
      <c r="B542" s="42" t="s">
        <v>598</v>
      </c>
      <c r="C542" s="43">
        <v>350000000</v>
      </c>
      <c r="D542" s="42" t="s">
        <v>89</v>
      </c>
      <c r="E542" s="43">
        <v>343000000</v>
      </c>
      <c r="F542" s="43">
        <f>C542-G542</f>
        <v>7000000</v>
      </c>
      <c r="G542" s="43">
        <v>343000000</v>
      </c>
      <c r="H542" s="44">
        <v>100</v>
      </c>
      <c r="I542" s="28"/>
      <c r="J542" s="29"/>
      <c r="K542" s="30"/>
      <c r="L542" s="31"/>
    </row>
    <row r="543" spans="1:12" ht="17.25" thickBot="1" x14ac:dyDescent="0.3">
      <c r="A543" s="42"/>
      <c r="B543" s="42" t="s">
        <v>599</v>
      </c>
      <c r="C543" s="43">
        <v>102196000</v>
      </c>
      <c r="D543" s="42" t="s">
        <v>19</v>
      </c>
      <c r="E543" s="43">
        <v>0</v>
      </c>
      <c r="F543" s="43">
        <f>C543-G543</f>
        <v>53642000</v>
      </c>
      <c r="G543" s="43">
        <f>88554000-40000000</f>
        <v>48554000</v>
      </c>
      <c r="H543" s="44">
        <f>G543/C543*100</f>
        <v>47.510665779482565</v>
      </c>
      <c r="I543" s="28"/>
      <c r="J543" s="29"/>
      <c r="K543" s="30"/>
      <c r="L543" s="31"/>
    </row>
    <row r="544" spans="1:12" ht="27.75" thickBot="1" x14ac:dyDescent="0.3">
      <c r="A544" s="42"/>
      <c r="B544" s="42" t="s">
        <v>600</v>
      </c>
      <c r="C544" s="43">
        <v>975000000</v>
      </c>
      <c r="D544" s="42" t="s">
        <v>89</v>
      </c>
      <c r="E544" s="43">
        <v>975000000</v>
      </c>
      <c r="F544" s="43">
        <f>C544-G544</f>
        <v>0</v>
      </c>
      <c r="G544" s="43">
        <v>975000000</v>
      </c>
      <c r="H544" s="44">
        <f>G544/C544*100</f>
        <v>100</v>
      </c>
      <c r="I544" s="28"/>
      <c r="J544" s="29"/>
      <c r="K544" s="30"/>
      <c r="L544" s="31"/>
    </row>
    <row r="545" spans="1:12" ht="27.75" thickBot="1" x14ac:dyDescent="0.3">
      <c r="A545" s="42"/>
      <c r="B545" s="42" t="s">
        <v>601</v>
      </c>
      <c r="C545" s="43">
        <v>25000000</v>
      </c>
      <c r="D545" s="42" t="s">
        <v>19</v>
      </c>
      <c r="E545" s="43">
        <v>0</v>
      </c>
      <c r="F545" s="43">
        <f>C545-G545</f>
        <v>0</v>
      </c>
      <c r="G545" s="43">
        <v>25000000</v>
      </c>
      <c r="H545" s="44">
        <v>100</v>
      </c>
      <c r="I545" s="28"/>
      <c r="J545" s="29"/>
      <c r="K545" s="30"/>
      <c r="L545" s="31"/>
    </row>
    <row r="546" spans="1:12" ht="17.25" thickBot="1" x14ac:dyDescent="0.3">
      <c r="A546" s="42"/>
      <c r="B546" s="42" t="s">
        <v>602</v>
      </c>
      <c r="C546" s="43">
        <v>200000000</v>
      </c>
      <c r="D546" s="42" t="s">
        <v>89</v>
      </c>
      <c r="E546" s="43">
        <v>196769000</v>
      </c>
      <c r="F546" s="43">
        <f>C546-G546</f>
        <v>3231000</v>
      </c>
      <c r="G546" s="43">
        <v>196769000</v>
      </c>
      <c r="H546" s="44">
        <v>100</v>
      </c>
      <c r="I546" s="28"/>
      <c r="J546" s="29"/>
      <c r="K546" s="30"/>
      <c r="L546" s="31"/>
    </row>
    <row r="547" spans="1:12" ht="17.25" thickBot="1" x14ac:dyDescent="0.3">
      <c r="A547" s="42"/>
      <c r="B547" s="42" t="s">
        <v>603</v>
      </c>
      <c r="C547" s="43">
        <v>200000000</v>
      </c>
      <c r="D547" s="42" t="s">
        <v>89</v>
      </c>
      <c r="E547" s="43">
        <v>195762000</v>
      </c>
      <c r="F547" s="43">
        <f>C547-G547</f>
        <v>4238000</v>
      </c>
      <c r="G547" s="43">
        <v>195762000</v>
      </c>
      <c r="H547" s="44">
        <v>100</v>
      </c>
      <c r="I547" s="28"/>
      <c r="J547" s="29"/>
      <c r="K547" s="30"/>
      <c r="L547" s="31"/>
    </row>
    <row r="548" spans="1:12" ht="17.25" thickBot="1" x14ac:dyDescent="0.3">
      <c r="A548" s="42"/>
      <c r="B548" s="42" t="s">
        <v>604</v>
      </c>
      <c r="C548" s="43">
        <v>200000000</v>
      </c>
      <c r="D548" s="42" t="s">
        <v>89</v>
      </c>
      <c r="E548" s="43">
        <v>196867000</v>
      </c>
      <c r="F548" s="43">
        <f>C548-G548</f>
        <v>3133000</v>
      </c>
      <c r="G548" s="43">
        <v>196867000</v>
      </c>
      <c r="H548" s="44">
        <v>100</v>
      </c>
      <c r="I548" s="28"/>
      <c r="J548" s="29"/>
      <c r="K548" s="30"/>
      <c r="L548" s="31"/>
    </row>
    <row r="549" spans="1:12" ht="17.25" thickBot="1" x14ac:dyDescent="0.3">
      <c r="A549" s="37" t="s">
        <v>605</v>
      </c>
      <c r="B549" s="37" t="s">
        <v>606</v>
      </c>
      <c r="C549" s="38">
        <f>SUM(C550:C739)</f>
        <v>53518149000</v>
      </c>
      <c r="D549" s="39"/>
      <c r="E549" s="40"/>
      <c r="F549" s="38">
        <f>C549-G549</f>
        <v>832863405</v>
      </c>
      <c r="G549" s="38">
        <f>SUM(G550:G739)</f>
        <v>52685285595</v>
      </c>
      <c r="H549" s="45">
        <f>AVERAGE(H550:H731,H733:H739)</f>
        <v>100</v>
      </c>
      <c r="I549" s="28"/>
      <c r="J549" s="29">
        <f>8369009589-G549</f>
        <v>-44316276006</v>
      </c>
      <c r="K549" s="30"/>
      <c r="L549" s="31"/>
    </row>
    <row r="550" spans="1:12" ht="17.25" thickBot="1" x14ac:dyDescent="0.3">
      <c r="A550" s="42"/>
      <c r="B550" s="42" t="s">
        <v>607</v>
      </c>
      <c r="C550" s="43">
        <v>915000000</v>
      </c>
      <c r="D550" s="42" t="s">
        <v>89</v>
      </c>
      <c r="E550" s="43">
        <v>910529000</v>
      </c>
      <c r="F550" s="43">
        <f>C550-G550</f>
        <v>4471000</v>
      </c>
      <c r="G550" s="43">
        <v>910529000</v>
      </c>
      <c r="H550" s="44">
        <v>100</v>
      </c>
      <c r="I550" s="28"/>
      <c r="J550" s="29"/>
      <c r="K550" s="30"/>
      <c r="L550" s="31"/>
    </row>
    <row r="551" spans="1:12" ht="17.25" thickBot="1" x14ac:dyDescent="0.3">
      <c r="A551" s="42"/>
      <c r="B551" s="42" t="s">
        <v>608</v>
      </c>
      <c r="C551" s="43">
        <v>915000000</v>
      </c>
      <c r="D551" s="42" t="s">
        <v>89</v>
      </c>
      <c r="E551" s="43">
        <v>911875450</v>
      </c>
      <c r="F551" s="43">
        <f>C551-G551</f>
        <v>3124550</v>
      </c>
      <c r="G551" s="43">
        <v>911875450</v>
      </c>
      <c r="H551" s="44">
        <v>100</v>
      </c>
      <c r="I551" s="28"/>
      <c r="J551" s="29"/>
      <c r="K551" s="30"/>
      <c r="L551" s="31"/>
    </row>
    <row r="552" spans="1:12" ht="17.25" thickBot="1" x14ac:dyDescent="0.3">
      <c r="A552" s="42"/>
      <c r="B552" s="42" t="s">
        <v>609</v>
      </c>
      <c r="C552" s="43">
        <v>480000000</v>
      </c>
      <c r="D552" s="42" t="s">
        <v>89</v>
      </c>
      <c r="E552" s="43">
        <v>468530500</v>
      </c>
      <c r="F552" s="43">
        <f>C552-G552</f>
        <v>11469500</v>
      </c>
      <c r="G552" s="43">
        <f>468530500</f>
        <v>468530500</v>
      </c>
      <c r="H552" s="44">
        <v>100</v>
      </c>
      <c r="I552" s="28"/>
      <c r="J552" s="29">
        <v>6445000</v>
      </c>
      <c r="K552" s="30"/>
      <c r="L552" s="31"/>
    </row>
    <row r="553" spans="1:12" ht="17.25" thickBot="1" x14ac:dyDescent="0.3">
      <c r="A553" s="42"/>
      <c r="B553" s="42" t="s">
        <v>610</v>
      </c>
      <c r="C553" s="43">
        <v>700000000</v>
      </c>
      <c r="D553" s="42" t="s">
        <v>89</v>
      </c>
      <c r="E553" s="43">
        <v>695512600</v>
      </c>
      <c r="F553" s="43">
        <f>C553-G553</f>
        <v>4487400</v>
      </c>
      <c r="G553" s="43">
        <f>695512600</f>
        <v>695512600</v>
      </c>
      <c r="H553" s="44">
        <v>100</v>
      </c>
      <c r="I553" s="28"/>
      <c r="J553" s="29">
        <v>4488000</v>
      </c>
      <c r="K553" s="30"/>
      <c r="L553" s="31"/>
    </row>
    <row r="554" spans="1:12" ht="17.25" thickBot="1" x14ac:dyDescent="0.3">
      <c r="A554" s="42"/>
      <c r="B554" s="42" t="s">
        <v>611</v>
      </c>
      <c r="C554" s="43">
        <v>290000000</v>
      </c>
      <c r="D554" s="42" t="s">
        <v>89</v>
      </c>
      <c r="E554" s="43">
        <v>281155800</v>
      </c>
      <c r="F554" s="43">
        <f>C554-G554</f>
        <v>8844200</v>
      </c>
      <c r="G554" s="43">
        <f>281155800</f>
        <v>281155800</v>
      </c>
      <c r="H554" s="44">
        <v>100</v>
      </c>
      <c r="I554" s="28"/>
      <c r="J554" s="29">
        <v>1813000</v>
      </c>
      <c r="K554" s="30"/>
      <c r="L554" s="31"/>
    </row>
    <row r="555" spans="1:12" ht="17.25" thickBot="1" x14ac:dyDescent="0.3">
      <c r="A555" s="42"/>
      <c r="B555" s="42" t="s">
        <v>612</v>
      </c>
      <c r="C555" s="43">
        <v>490000000</v>
      </c>
      <c r="D555" s="42" t="s">
        <v>89</v>
      </c>
      <c r="E555" s="43">
        <v>484320000</v>
      </c>
      <c r="F555" s="43">
        <f>C555-G555</f>
        <v>5680000</v>
      </c>
      <c r="G555" s="43">
        <f>145296000+339024000</f>
        <v>484320000</v>
      </c>
      <c r="H555" s="44">
        <v>100</v>
      </c>
      <c r="I555" s="28"/>
      <c r="J555" s="29">
        <v>2990000</v>
      </c>
      <c r="K555" s="30"/>
      <c r="L555" s="31"/>
    </row>
    <row r="556" spans="1:12" ht="17.25" thickBot="1" x14ac:dyDescent="0.3">
      <c r="A556" s="42"/>
      <c r="B556" s="42" t="s">
        <v>613</v>
      </c>
      <c r="C556" s="43">
        <v>1410000000</v>
      </c>
      <c r="D556" s="42" t="s">
        <v>89</v>
      </c>
      <c r="E556" s="43">
        <v>1392516000</v>
      </c>
      <c r="F556" s="43">
        <f>C556-G556</f>
        <v>17484000</v>
      </c>
      <c r="G556" s="43">
        <v>1392516000</v>
      </c>
      <c r="H556" s="44">
        <v>100</v>
      </c>
      <c r="I556" s="28"/>
      <c r="J556" s="29"/>
      <c r="K556" s="30"/>
      <c r="L556" s="31"/>
    </row>
    <row r="557" spans="1:12" ht="17.25" thickBot="1" x14ac:dyDescent="0.3">
      <c r="A557" s="42"/>
      <c r="B557" s="42" t="s">
        <v>614</v>
      </c>
      <c r="C557" s="43">
        <v>290000000</v>
      </c>
      <c r="D557" s="42" t="s">
        <v>89</v>
      </c>
      <c r="E557" s="43">
        <v>286028200</v>
      </c>
      <c r="F557" s="43">
        <f>C557-G557</f>
        <v>3971800</v>
      </c>
      <c r="G557" s="43">
        <v>286028200</v>
      </c>
      <c r="H557" s="44">
        <v>100</v>
      </c>
      <c r="I557" s="28"/>
      <c r="J557" s="29"/>
      <c r="K557" s="30"/>
      <c r="L557" s="31"/>
    </row>
    <row r="558" spans="1:12" ht="17.25" thickBot="1" x14ac:dyDescent="0.3">
      <c r="A558" s="42"/>
      <c r="B558" s="42" t="s">
        <v>615</v>
      </c>
      <c r="C558" s="43">
        <v>480000000</v>
      </c>
      <c r="D558" s="42" t="s">
        <v>89</v>
      </c>
      <c r="E558" s="43">
        <v>465377000</v>
      </c>
      <c r="F558" s="43">
        <f>C558-G558</f>
        <v>14623000</v>
      </c>
      <c r="G558" s="43">
        <f>465377000</f>
        <v>465377000</v>
      </c>
      <c r="H558" s="44">
        <v>100</v>
      </c>
      <c r="I558" s="28"/>
      <c r="J558" s="29">
        <v>4662000</v>
      </c>
      <c r="K558" s="30"/>
      <c r="L558" s="31"/>
    </row>
    <row r="559" spans="1:12" ht="17.25" thickBot="1" x14ac:dyDescent="0.3">
      <c r="A559" s="42"/>
      <c r="B559" s="42" t="s">
        <v>616</v>
      </c>
      <c r="C559" s="43">
        <v>1885000000</v>
      </c>
      <c r="D559" s="42" t="s">
        <v>89</v>
      </c>
      <c r="E559" s="43">
        <v>1883674000</v>
      </c>
      <c r="F559" s="43">
        <f>C559-G559</f>
        <v>1326000</v>
      </c>
      <c r="G559" s="43">
        <v>1883674000</v>
      </c>
      <c r="H559" s="44">
        <v>100</v>
      </c>
      <c r="I559" s="28"/>
      <c r="J559" s="29"/>
      <c r="K559" s="30"/>
      <c r="L559" s="31"/>
    </row>
    <row r="560" spans="1:12" ht="17.25" thickBot="1" x14ac:dyDescent="0.3">
      <c r="A560" s="42"/>
      <c r="B560" s="42" t="s">
        <v>617</v>
      </c>
      <c r="C560" s="43">
        <v>480000000</v>
      </c>
      <c r="D560" s="42" t="s">
        <v>89</v>
      </c>
      <c r="E560" s="43">
        <v>465092000</v>
      </c>
      <c r="F560" s="43">
        <f>C560-G560</f>
        <v>14908000</v>
      </c>
      <c r="G560" s="43">
        <v>465092000</v>
      </c>
      <c r="H560" s="44">
        <v>100</v>
      </c>
      <c r="I560" s="28"/>
      <c r="J560" s="29"/>
      <c r="K560" s="30"/>
      <c r="L560" s="31"/>
    </row>
    <row r="561" spans="1:12" ht="17.25" thickBot="1" x14ac:dyDescent="0.3">
      <c r="A561" s="42"/>
      <c r="B561" s="42" t="s">
        <v>618</v>
      </c>
      <c r="C561" s="43">
        <v>290000000</v>
      </c>
      <c r="D561" s="42" t="s">
        <v>89</v>
      </c>
      <c r="E561" s="43">
        <v>281149000</v>
      </c>
      <c r="F561" s="43">
        <f>C561-G561</f>
        <v>8851000</v>
      </c>
      <c r="G561" s="43">
        <v>281149000</v>
      </c>
      <c r="H561" s="44">
        <v>100</v>
      </c>
      <c r="I561" s="28"/>
      <c r="J561" s="29"/>
      <c r="K561" s="30"/>
      <c r="L561" s="31"/>
    </row>
    <row r="562" spans="1:12" ht="17.25" thickBot="1" x14ac:dyDescent="0.3">
      <c r="A562" s="42"/>
      <c r="B562" s="42" t="s">
        <v>619</v>
      </c>
      <c r="C562" s="43">
        <v>480000000</v>
      </c>
      <c r="D562" s="42" t="s">
        <v>89</v>
      </c>
      <c r="E562" s="43">
        <v>468177000</v>
      </c>
      <c r="F562" s="43">
        <f>C562-G562</f>
        <v>11823000</v>
      </c>
      <c r="G562" s="43">
        <v>468177000</v>
      </c>
      <c r="H562" s="44">
        <v>100</v>
      </c>
      <c r="I562" s="28"/>
      <c r="J562" s="29"/>
      <c r="K562" s="30"/>
      <c r="L562" s="31"/>
    </row>
    <row r="563" spans="1:12" ht="17.25" thickBot="1" x14ac:dyDescent="0.3">
      <c r="A563" s="42"/>
      <c r="B563" s="42" t="s">
        <v>620</v>
      </c>
      <c r="C563" s="43">
        <v>915000000</v>
      </c>
      <c r="D563" s="42" t="s">
        <v>89</v>
      </c>
      <c r="E563" s="43">
        <v>896559000</v>
      </c>
      <c r="F563" s="43">
        <f>C563-G563</f>
        <v>18441000</v>
      </c>
      <c r="G563" s="43">
        <v>896559000</v>
      </c>
      <c r="H563" s="44">
        <v>100</v>
      </c>
      <c r="I563" s="28"/>
      <c r="J563" s="29"/>
      <c r="K563" s="30"/>
      <c r="L563" s="31"/>
    </row>
    <row r="564" spans="1:12" ht="17.25" thickBot="1" x14ac:dyDescent="0.3">
      <c r="A564" s="42"/>
      <c r="B564" s="42" t="s">
        <v>621</v>
      </c>
      <c r="C564" s="43">
        <v>290000000</v>
      </c>
      <c r="D564" s="42" t="s">
        <v>89</v>
      </c>
      <c r="E564" s="43">
        <v>287617000</v>
      </c>
      <c r="F564" s="43">
        <f>C564-G564</f>
        <v>2383000</v>
      </c>
      <c r="G564" s="43">
        <v>287617000</v>
      </c>
      <c r="H564" s="44">
        <v>100</v>
      </c>
      <c r="I564" s="28"/>
      <c r="J564" s="29"/>
      <c r="K564" s="30"/>
      <c r="L564" s="31"/>
    </row>
    <row r="565" spans="1:12" ht="17.25" thickBot="1" x14ac:dyDescent="0.3">
      <c r="A565" s="42"/>
      <c r="B565" s="42" t="s">
        <v>622</v>
      </c>
      <c r="C565" s="43">
        <v>290000000</v>
      </c>
      <c r="D565" s="42" t="s">
        <v>89</v>
      </c>
      <c r="E565" s="43">
        <v>288145800</v>
      </c>
      <c r="F565" s="43">
        <f>C565-G565</f>
        <v>1854200</v>
      </c>
      <c r="G565" s="43">
        <f>288145800</f>
        <v>288145800</v>
      </c>
      <c r="H565" s="44">
        <v>100</v>
      </c>
      <c r="I565" s="28"/>
      <c r="J565" s="29">
        <v>10143000</v>
      </c>
      <c r="K565" s="30"/>
      <c r="L565" s="31"/>
    </row>
    <row r="566" spans="1:12" ht="17.25" thickBot="1" x14ac:dyDescent="0.3">
      <c r="A566" s="42"/>
      <c r="B566" s="42" t="s">
        <v>623</v>
      </c>
      <c r="C566" s="43">
        <v>290000000</v>
      </c>
      <c r="D566" s="42" t="s">
        <v>89</v>
      </c>
      <c r="E566" s="43">
        <v>287610000</v>
      </c>
      <c r="F566" s="43">
        <f>C566-G566</f>
        <v>2390000</v>
      </c>
      <c r="G566" s="43">
        <f>287610000</f>
        <v>287610000</v>
      </c>
      <c r="H566" s="44">
        <v>100</v>
      </c>
      <c r="I566" s="28"/>
      <c r="J566" s="29">
        <v>4345000</v>
      </c>
      <c r="K566" s="30"/>
      <c r="L566" s="31"/>
    </row>
    <row r="567" spans="1:12" ht="17.25" thickBot="1" x14ac:dyDescent="0.3">
      <c r="A567" s="42"/>
      <c r="B567" s="42" t="s">
        <v>624</v>
      </c>
      <c r="C567" s="43">
        <v>290000000</v>
      </c>
      <c r="D567" s="42" t="s">
        <v>89</v>
      </c>
      <c r="E567" s="43">
        <v>281286000</v>
      </c>
      <c r="F567" s="43">
        <f>C567-G567</f>
        <v>8714000</v>
      </c>
      <c r="G567" s="43">
        <v>281286000</v>
      </c>
      <c r="H567" s="44">
        <v>100</v>
      </c>
      <c r="I567" s="28"/>
      <c r="J567" s="29"/>
      <c r="K567" s="30"/>
      <c r="L567" s="31"/>
    </row>
    <row r="568" spans="1:12" ht="17.25" thickBot="1" x14ac:dyDescent="0.3">
      <c r="A568" s="42"/>
      <c r="B568" s="42" t="s">
        <v>625</v>
      </c>
      <c r="C568" s="43">
        <v>290000000</v>
      </c>
      <c r="D568" s="42" t="s">
        <v>89</v>
      </c>
      <c r="E568" s="43">
        <v>282012000</v>
      </c>
      <c r="F568" s="43">
        <f>C568-G568</f>
        <v>7988000</v>
      </c>
      <c r="G568" s="43">
        <v>282012000</v>
      </c>
      <c r="H568" s="44">
        <v>100</v>
      </c>
      <c r="I568" s="28"/>
      <c r="J568" s="29"/>
      <c r="K568" s="30"/>
      <c r="L568" s="31"/>
    </row>
    <row r="569" spans="1:12" ht="17.25" thickBot="1" x14ac:dyDescent="0.3">
      <c r="A569" s="42"/>
      <c r="B569" s="42" t="s">
        <v>626</v>
      </c>
      <c r="C569" s="43">
        <v>290000000</v>
      </c>
      <c r="D569" s="42" t="s">
        <v>89</v>
      </c>
      <c r="E569" s="43">
        <v>281343000</v>
      </c>
      <c r="F569" s="43">
        <f>C569-G569</f>
        <v>8657000</v>
      </c>
      <c r="G569" s="43">
        <f>84402900+196940100</f>
        <v>281343000</v>
      </c>
      <c r="H569" s="44">
        <v>100</v>
      </c>
      <c r="I569" s="28"/>
      <c r="J569" s="29"/>
      <c r="K569" s="30"/>
      <c r="L569" s="31"/>
    </row>
    <row r="570" spans="1:12" ht="17.25" thickBot="1" x14ac:dyDescent="0.3">
      <c r="A570" s="42"/>
      <c r="B570" s="42" t="s">
        <v>627</v>
      </c>
      <c r="C570" s="43">
        <v>290000000</v>
      </c>
      <c r="D570" s="42" t="s">
        <v>89</v>
      </c>
      <c r="E570" s="43">
        <v>287534500</v>
      </c>
      <c r="F570" s="43">
        <f>C570-G570</f>
        <v>2465500</v>
      </c>
      <c r="G570" s="43">
        <v>287534500</v>
      </c>
      <c r="H570" s="44">
        <v>100</v>
      </c>
      <c r="I570" s="28"/>
      <c r="J570" s="29"/>
      <c r="K570" s="30"/>
      <c r="L570" s="31"/>
    </row>
    <row r="571" spans="1:12" ht="17.25" thickBot="1" x14ac:dyDescent="0.3">
      <c r="A571" s="42"/>
      <c r="B571" s="42" t="s">
        <v>628</v>
      </c>
      <c r="C571" s="43">
        <v>290000000</v>
      </c>
      <c r="D571" s="42" t="s">
        <v>89</v>
      </c>
      <c r="E571" s="43">
        <v>280944800</v>
      </c>
      <c r="F571" s="43">
        <f>C571-G571</f>
        <v>9055200</v>
      </c>
      <c r="G571" s="43">
        <f>280944800</f>
        <v>280944800</v>
      </c>
      <c r="H571" s="44">
        <v>100</v>
      </c>
      <c r="I571" s="28"/>
      <c r="J571" s="29">
        <v>3936000</v>
      </c>
      <c r="K571" s="30"/>
      <c r="L571" s="31"/>
    </row>
    <row r="572" spans="1:12" ht="17.25" thickBot="1" x14ac:dyDescent="0.3">
      <c r="A572" s="42"/>
      <c r="B572" s="42" t="s">
        <v>629</v>
      </c>
      <c r="C572" s="43">
        <v>290000000</v>
      </c>
      <c r="D572" s="42" t="s">
        <v>89</v>
      </c>
      <c r="E572" s="43">
        <v>280944800</v>
      </c>
      <c r="F572" s="43">
        <f>C572-G572</f>
        <v>9055200</v>
      </c>
      <c r="G572" s="43">
        <f>280944800</f>
        <v>280944800</v>
      </c>
      <c r="H572" s="44">
        <v>100</v>
      </c>
      <c r="I572" s="28"/>
      <c r="J572" s="29">
        <v>1776000</v>
      </c>
      <c r="K572" s="30"/>
      <c r="L572" s="31"/>
    </row>
    <row r="573" spans="1:12" ht="17.25" thickBot="1" x14ac:dyDescent="0.3">
      <c r="A573" s="42"/>
      <c r="B573" s="42" t="s">
        <v>630</v>
      </c>
      <c r="C573" s="43">
        <v>290000000</v>
      </c>
      <c r="D573" s="42" t="s">
        <v>89</v>
      </c>
      <c r="E573" s="43">
        <v>284213200</v>
      </c>
      <c r="F573" s="43">
        <f>C573-G573</f>
        <v>5786800</v>
      </c>
      <c r="G573" s="43">
        <v>284213200</v>
      </c>
      <c r="H573" s="44">
        <v>100</v>
      </c>
      <c r="I573" s="28"/>
      <c r="J573" s="29"/>
      <c r="K573" s="30"/>
      <c r="L573" s="31"/>
    </row>
    <row r="574" spans="1:12" ht="17.25" thickBot="1" x14ac:dyDescent="0.3">
      <c r="A574" s="42"/>
      <c r="B574" s="42" t="s">
        <v>631</v>
      </c>
      <c r="C574" s="43">
        <v>480000000</v>
      </c>
      <c r="D574" s="42" t="s">
        <v>89</v>
      </c>
      <c r="E574" s="43">
        <v>477388000</v>
      </c>
      <c r="F574" s="43">
        <f>C574-G574</f>
        <v>2612000</v>
      </c>
      <c r="G574" s="43">
        <f>477388000</f>
        <v>477388000</v>
      </c>
      <c r="H574" s="44">
        <v>100</v>
      </c>
      <c r="I574" s="28"/>
      <c r="J574" s="29">
        <v>9251000</v>
      </c>
      <c r="K574" s="30"/>
      <c r="L574" s="31"/>
    </row>
    <row r="575" spans="1:12" ht="17.25" thickBot="1" x14ac:dyDescent="0.3">
      <c r="A575" s="42"/>
      <c r="B575" s="42" t="s">
        <v>632</v>
      </c>
      <c r="C575" s="43">
        <v>191000000</v>
      </c>
      <c r="D575" s="42" t="s">
        <v>89</v>
      </c>
      <c r="E575" s="43">
        <v>189027800</v>
      </c>
      <c r="F575" s="43">
        <f>C575-G575</f>
        <v>1972200</v>
      </c>
      <c r="G575" s="43">
        <v>189027800</v>
      </c>
      <c r="H575" s="44">
        <v>100</v>
      </c>
      <c r="I575" s="28"/>
      <c r="J575" s="29">
        <v>2</v>
      </c>
      <c r="K575" s="30"/>
      <c r="L575" s="31"/>
    </row>
    <row r="576" spans="1:12" ht="17.25" thickBot="1" x14ac:dyDescent="0.3">
      <c r="A576" s="42"/>
      <c r="B576" s="42" t="s">
        <v>633</v>
      </c>
      <c r="C576" s="43">
        <v>148631000</v>
      </c>
      <c r="D576" s="42" t="s">
        <v>89</v>
      </c>
      <c r="E576" s="43">
        <v>145970000</v>
      </c>
      <c r="F576" s="43">
        <f>C576-G576</f>
        <v>2661000</v>
      </c>
      <c r="G576" s="43">
        <v>145970000</v>
      </c>
      <c r="H576" s="44">
        <v>100</v>
      </c>
      <c r="I576" s="28"/>
      <c r="J576" s="29"/>
      <c r="K576" s="30"/>
      <c r="L576" s="31"/>
    </row>
    <row r="577" spans="1:12" ht="17.25" thickBot="1" x14ac:dyDescent="0.3">
      <c r="A577" s="42"/>
      <c r="B577" s="42" t="s">
        <v>634</v>
      </c>
      <c r="C577" s="43">
        <v>191000000</v>
      </c>
      <c r="D577" s="42" t="s">
        <v>89</v>
      </c>
      <c r="E577" s="43">
        <v>187627000</v>
      </c>
      <c r="F577" s="43">
        <f>C577-G577</f>
        <v>3373000</v>
      </c>
      <c r="G577" s="43">
        <v>187627000</v>
      </c>
      <c r="H577" s="44">
        <v>100</v>
      </c>
      <c r="I577" s="28"/>
      <c r="J577" s="29">
        <v>3</v>
      </c>
      <c r="K577" s="30"/>
      <c r="L577" s="31"/>
    </row>
    <row r="578" spans="1:12" ht="17.25" thickBot="1" x14ac:dyDescent="0.3">
      <c r="A578" s="42"/>
      <c r="B578" s="42" t="s">
        <v>635</v>
      </c>
      <c r="C578" s="43">
        <v>148631000</v>
      </c>
      <c r="D578" s="42" t="s">
        <v>89</v>
      </c>
      <c r="E578" s="43">
        <v>145401000</v>
      </c>
      <c r="F578" s="43">
        <f>C578-G578</f>
        <v>3230000</v>
      </c>
      <c r="G578" s="43">
        <v>145401000</v>
      </c>
      <c r="H578" s="44">
        <v>100</v>
      </c>
      <c r="I578" s="28"/>
      <c r="J578" s="29">
        <v>4</v>
      </c>
      <c r="K578" s="30"/>
      <c r="L578" s="31"/>
    </row>
    <row r="579" spans="1:12" ht="17.25" thickBot="1" x14ac:dyDescent="0.3">
      <c r="A579" s="42"/>
      <c r="B579" s="42" t="s">
        <v>636</v>
      </c>
      <c r="C579" s="43">
        <v>191000000</v>
      </c>
      <c r="D579" s="42" t="s">
        <v>89</v>
      </c>
      <c r="E579" s="43">
        <v>189049000</v>
      </c>
      <c r="F579" s="43">
        <f>C579-G579</f>
        <v>1951000</v>
      </c>
      <c r="G579" s="43">
        <v>189049000</v>
      </c>
      <c r="H579" s="44">
        <v>100</v>
      </c>
      <c r="I579" s="28"/>
      <c r="J579" s="29"/>
      <c r="K579" s="30"/>
      <c r="L579" s="31"/>
    </row>
    <row r="580" spans="1:12" ht="17.25" thickBot="1" x14ac:dyDescent="0.3">
      <c r="A580" s="42"/>
      <c r="B580" s="42" t="s">
        <v>637</v>
      </c>
      <c r="C580" s="43">
        <v>191000000</v>
      </c>
      <c r="D580" s="42" t="s">
        <v>89</v>
      </c>
      <c r="E580" s="43">
        <v>187124000</v>
      </c>
      <c r="F580" s="43">
        <f>C580-G580</f>
        <v>3876000</v>
      </c>
      <c r="G580" s="43">
        <v>187124000</v>
      </c>
      <c r="H580" s="44">
        <v>100</v>
      </c>
      <c r="I580" s="28"/>
      <c r="J580" s="29">
        <v>5</v>
      </c>
      <c r="K580" s="30"/>
      <c r="L580" s="31"/>
    </row>
    <row r="581" spans="1:12" ht="17.25" thickBot="1" x14ac:dyDescent="0.3">
      <c r="A581" s="42"/>
      <c r="B581" s="42" t="s">
        <v>638</v>
      </c>
      <c r="C581" s="43">
        <v>191000000</v>
      </c>
      <c r="D581" s="42" t="s">
        <v>89</v>
      </c>
      <c r="E581" s="43">
        <v>187186000</v>
      </c>
      <c r="F581" s="43">
        <f>C581-G581</f>
        <v>3814000</v>
      </c>
      <c r="G581" s="43">
        <v>187186000</v>
      </c>
      <c r="H581" s="44">
        <v>100</v>
      </c>
      <c r="I581" s="28"/>
      <c r="J581" s="29">
        <v>6</v>
      </c>
      <c r="K581" s="30"/>
      <c r="L581" s="31"/>
    </row>
    <row r="582" spans="1:12" ht="17.25" thickBot="1" x14ac:dyDescent="0.3">
      <c r="A582" s="42"/>
      <c r="B582" s="42" t="s">
        <v>639</v>
      </c>
      <c r="C582" s="43">
        <v>191000000</v>
      </c>
      <c r="D582" s="42" t="s">
        <v>89</v>
      </c>
      <c r="E582" s="43">
        <v>188372000</v>
      </c>
      <c r="F582" s="43">
        <f>C582-G582</f>
        <v>2628000</v>
      </c>
      <c r="G582" s="43">
        <v>188372000</v>
      </c>
      <c r="H582" s="44">
        <v>100</v>
      </c>
      <c r="I582" s="28"/>
      <c r="J582" s="29"/>
      <c r="K582" s="30"/>
      <c r="L582" s="31"/>
    </row>
    <row r="583" spans="1:12" ht="17.25" thickBot="1" x14ac:dyDescent="0.3">
      <c r="A583" s="42"/>
      <c r="B583" s="42" t="s">
        <v>640</v>
      </c>
      <c r="C583" s="43">
        <v>191000000</v>
      </c>
      <c r="D583" s="42" t="s">
        <v>89</v>
      </c>
      <c r="E583" s="43">
        <v>188270000</v>
      </c>
      <c r="F583" s="43">
        <f>C583-G583</f>
        <v>2730000</v>
      </c>
      <c r="G583" s="43">
        <v>188270000</v>
      </c>
      <c r="H583" s="44">
        <v>100</v>
      </c>
      <c r="I583" s="28"/>
      <c r="J583" s="29">
        <v>7</v>
      </c>
      <c r="K583" s="30"/>
      <c r="L583" s="31"/>
    </row>
    <row r="584" spans="1:12" ht="17.25" thickBot="1" x14ac:dyDescent="0.3">
      <c r="A584" s="42"/>
      <c r="B584" s="42" t="s">
        <v>641</v>
      </c>
      <c r="C584" s="43">
        <v>191000000</v>
      </c>
      <c r="D584" s="42" t="s">
        <v>89</v>
      </c>
      <c r="E584" s="43">
        <v>189460000</v>
      </c>
      <c r="F584" s="43">
        <f>C584-G584</f>
        <v>1540000</v>
      </c>
      <c r="G584" s="43">
        <v>189460000</v>
      </c>
      <c r="H584" s="44">
        <v>100</v>
      </c>
      <c r="I584" s="28"/>
      <c r="J584" s="29"/>
      <c r="K584" s="30"/>
      <c r="L584" s="31"/>
    </row>
    <row r="585" spans="1:12" ht="17.25" thickBot="1" x14ac:dyDescent="0.3">
      <c r="A585" s="42"/>
      <c r="B585" s="42" t="s">
        <v>642</v>
      </c>
      <c r="C585" s="43">
        <v>191000000</v>
      </c>
      <c r="D585" s="42" t="s">
        <v>89</v>
      </c>
      <c r="E585" s="43">
        <v>189460000</v>
      </c>
      <c r="F585" s="43">
        <f>C585-G585</f>
        <v>1540000</v>
      </c>
      <c r="G585" s="43">
        <v>189460000</v>
      </c>
      <c r="H585" s="44">
        <v>100</v>
      </c>
      <c r="I585" s="28"/>
      <c r="J585" s="29"/>
      <c r="K585" s="30"/>
      <c r="L585" s="31"/>
    </row>
    <row r="586" spans="1:12" ht="17.25" thickBot="1" x14ac:dyDescent="0.3">
      <c r="A586" s="42"/>
      <c r="B586" s="42" t="s">
        <v>643</v>
      </c>
      <c r="C586" s="43">
        <v>191000000</v>
      </c>
      <c r="D586" s="42" t="s">
        <v>89</v>
      </c>
      <c r="E586" s="43">
        <v>188254000</v>
      </c>
      <c r="F586" s="43">
        <f>C586-G586</f>
        <v>2746000</v>
      </c>
      <c r="G586" s="43">
        <v>188254000</v>
      </c>
      <c r="H586" s="44">
        <v>100</v>
      </c>
      <c r="I586" s="28"/>
      <c r="J586" s="29">
        <v>8</v>
      </c>
      <c r="K586" s="30"/>
      <c r="L586" s="31"/>
    </row>
    <row r="587" spans="1:12" ht="17.25" thickBot="1" x14ac:dyDescent="0.3">
      <c r="A587" s="42"/>
      <c r="B587" s="42" t="s">
        <v>644</v>
      </c>
      <c r="C587" s="43">
        <v>198631000</v>
      </c>
      <c r="D587" s="42" t="s">
        <v>89</v>
      </c>
      <c r="E587" s="43">
        <v>195430000</v>
      </c>
      <c r="F587" s="43">
        <f>C587-G587</f>
        <v>3201000</v>
      </c>
      <c r="G587" s="43">
        <v>195430000</v>
      </c>
      <c r="H587" s="44">
        <v>100</v>
      </c>
      <c r="I587" s="28"/>
      <c r="J587" s="29">
        <v>9</v>
      </c>
      <c r="K587" s="30"/>
      <c r="L587" s="31"/>
    </row>
    <row r="588" spans="1:12" ht="17.25" thickBot="1" x14ac:dyDescent="0.3">
      <c r="A588" s="42"/>
      <c r="B588" s="42" t="s">
        <v>645</v>
      </c>
      <c r="C588" s="43">
        <v>191000000</v>
      </c>
      <c r="D588" s="42" t="s">
        <v>89</v>
      </c>
      <c r="E588" s="43">
        <v>190000000</v>
      </c>
      <c r="F588" s="43">
        <f>C588-G588</f>
        <v>1000000</v>
      </c>
      <c r="G588" s="43">
        <v>190000000</v>
      </c>
      <c r="H588" s="44">
        <v>100</v>
      </c>
      <c r="I588" s="28"/>
      <c r="J588" s="29">
        <v>10</v>
      </c>
      <c r="K588" s="30"/>
      <c r="L588" s="31"/>
    </row>
    <row r="589" spans="1:12" ht="17.25" thickBot="1" x14ac:dyDescent="0.3">
      <c r="A589" s="42"/>
      <c r="B589" s="42" t="s">
        <v>646</v>
      </c>
      <c r="C589" s="43">
        <v>148631000</v>
      </c>
      <c r="D589" s="42" t="s">
        <v>89</v>
      </c>
      <c r="E589" s="43">
        <v>146213000</v>
      </c>
      <c r="F589" s="43">
        <f>C589-G589</f>
        <v>2418000</v>
      </c>
      <c r="G589" s="43">
        <v>146213000</v>
      </c>
      <c r="H589" s="44">
        <v>100</v>
      </c>
      <c r="I589" s="28"/>
      <c r="J589" s="29">
        <v>11</v>
      </c>
      <c r="K589" s="30"/>
      <c r="L589" s="31"/>
    </row>
    <row r="590" spans="1:12" ht="17.25" thickBot="1" x14ac:dyDescent="0.3">
      <c r="A590" s="42"/>
      <c r="B590" s="42" t="s">
        <v>647</v>
      </c>
      <c r="C590" s="43">
        <v>158631000</v>
      </c>
      <c r="D590" s="42" t="s">
        <v>89</v>
      </c>
      <c r="E590" s="43">
        <v>156207000</v>
      </c>
      <c r="F590" s="43">
        <f>C590-G590</f>
        <v>2424000</v>
      </c>
      <c r="G590" s="43">
        <v>156207000</v>
      </c>
      <c r="H590" s="44">
        <v>100</v>
      </c>
      <c r="I590" s="28"/>
      <c r="J590" s="29">
        <v>12</v>
      </c>
      <c r="K590" s="30"/>
      <c r="L590" s="31"/>
    </row>
    <row r="591" spans="1:12" ht="17.25" thickBot="1" x14ac:dyDescent="0.3">
      <c r="A591" s="42"/>
      <c r="B591" s="42" t="s">
        <v>648</v>
      </c>
      <c r="C591" s="43">
        <v>191000000</v>
      </c>
      <c r="D591" s="42" t="s">
        <v>89</v>
      </c>
      <c r="E591" s="43">
        <v>188307000</v>
      </c>
      <c r="F591" s="43">
        <f>C591-G591</f>
        <v>2693000</v>
      </c>
      <c r="G591" s="43">
        <f>188307000</f>
        <v>188307000</v>
      </c>
      <c r="H591" s="44">
        <v>100</v>
      </c>
      <c r="I591" s="28"/>
      <c r="J591" s="29">
        <v>2286000</v>
      </c>
      <c r="K591" s="30"/>
      <c r="L591" s="31"/>
    </row>
    <row r="592" spans="1:12" ht="17.25" thickBot="1" x14ac:dyDescent="0.3">
      <c r="A592" s="42"/>
      <c r="B592" s="42" t="s">
        <v>649</v>
      </c>
      <c r="C592" s="43">
        <v>197000000</v>
      </c>
      <c r="D592" s="42" t="s">
        <v>89</v>
      </c>
      <c r="E592" s="43">
        <v>194212000</v>
      </c>
      <c r="F592" s="43">
        <f>C592-G592</f>
        <v>2788000</v>
      </c>
      <c r="G592" s="43">
        <v>194212000</v>
      </c>
      <c r="H592" s="44">
        <v>100</v>
      </c>
      <c r="I592" s="28"/>
      <c r="J592" s="29">
        <v>14</v>
      </c>
      <c r="K592" s="30"/>
      <c r="L592" s="31"/>
    </row>
    <row r="593" spans="1:12" ht="17.25" thickBot="1" x14ac:dyDescent="0.3">
      <c r="A593" s="42"/>
      <c r="B593" s="42" t="s">
        <v>650</v>
      </c>
      <c r="C593" s="43">
        <v>40000000</v>
      </c>
      <c r="D593" s="42" t="s">
        <v>194</v>
      </c>
      <c r="E593" s="43">
        <v>38835000</v>
      </c>
      <c r="F593" s="43">
        <f>C593-G593</f>
        <v>1165000</v>
      </c>
      <c r="G593" s="43">
        <v>38835000</v>
      </c>
      <c r="H593" s="44">
        <v>100</v>
      </c>
      <c r="I593" s="28"/>
      <c r="J593" s="29">
        <v>15</v>
      </c>
      <c r="K593" s="30"/>
      <c r="L593" s="31"/>
    </row>
    <row r="594" spans="1:12" ht="17.25" thickBot="1" x14ac:dyDescent="0.3">
      <c r="A594" s="42"/>
      <c r="B594" s="42" t="s">
        <v>651</v>
      </c>
      <c r="C594" s="43">
        <v>35000000</v>
      </c>
      <c r="D594" s="42" t="s">
        <v>194</v>
      </c>
      <c r="E594" s="43">
        <v>34000000</v>
      </c>
      <c r="F594" s="43">
        <f>C594-G594</f>
        <v>1000000</v>
      </c>
      <c r="G594" s="43">
        <v>34000000</v>
      </c>
      <c r="H594" s="44">
        <v>100</v>
      </c>
      <c r="I594" s="28"/>
      <c r="J594" s="29">
        <v>16</v>
      </c>
      <c r="K594" s="30"/>
      <c r="L594" s="31"/>
    </row>
    <row r="595" spans="1:12" ht="17.25" thickBot="1" x14ac:dyDescent="0.3">
      <c r="A595" s="42"/>
      <c r="B595" s="42" t="s">
        <v>652</v>
      </c>
      <c r="C595" s="43">
        <v>20000000</v>
      </c>
      <c r="D595" s="42" t="s">
        <v>194</v>
      </c>
      <c r="E595" s="43">
        <v>19872000</v>
      </c>
      <c r="F595" s="43">
        <f>C595-G595</f>
        <v>128000</v>
      </c>
      <c r="G595" s="43">
        <v>19872000</v>
      </c>
      <c r="H595" s="44">
        <v>100</v>
      </c>
      <c r="I595" s="28"/>
      <c r="J595" s="29">
        <v>17</v>
      </c>
      <c r="K595" s="30"/>
      <c r="L595" s="31"/>
    </row>
    <row r="596" spans="1:12" ht="17.25" thickBot="1" x14ac:dyDescent="0.3">
      <c r="A596" s="42"/>
      <c r="B596" s="42" t="s">
        <v>653</v>
      </c>
      <c r="C596" s="43">
        <v>35000000</v>
      </c>
      <c r="D596" s="42" t="s">
        <v>194</v>
      </c>
      <c r="E596" s="43">
        <v>33302220</v>
      </c>
      <c r="F596" s="43">
        <f>C596-G596</f>
        <v>1697780</v>
      </c>
      <c r="G596" s="43">
        <v>33302220</v>
      </c>
      <c r="H596" s="44">
        <v>100</v>
      </c>
      <c r="I596" s="28"/>
      <c r="J596" s="29">
        <v>18</v>
      </c>
      <c r="K596" s="30"/>
      <c r="L596" s="31"/>
    </row>
    <row r="597" spans="1:12" ht="17.25" thickBot="1" x14ac:dyDescent="0.3">
      <c r="A597" s="42"/>
      <c r="B597" s="42" t="s">
        <v>654</v>
      </c>
      <c r="C597" s="43">
        <v>35000000</v>
      </c>
      <c r="D597" s="42" t="s">
        <v>194</v>
      </c>
      <c r="E597" s="43">
        <v>34482000</v>
      </c>
      <c r="F597" s="43">
        <f>C597-G597</f>
        <v>518000</v>
      </c>
      <c r="G597" s="43">
        <v>34482000</v>
      </c>
      <c r="H597" s="44">
        <v>100</v>
      </c>
      <c r="I597" s="28"/>
      <c r="J597" s="29">
        <v>19</v>
      </c>
      <c r="K597" s="30"/>
      <c r="L597" s="31"/>
    </row>
    <row r="598" spans="1:12" ht="17.25" thickBot="1" x14ac:dyDescent="0.3">
      <c r="A598" s="42"/>
      <c r="B598" s="42" t="s">
        <v>655</v>
      </c>
      <c r="C598" s="43">
        <v>45000000</v>
      </c>
      <c r="D598" s="42" t="s">
        <v>194</v>
      </c>
      <c r="E598" s="43">
        <v>42540000</v>
      </c>
      <c r="F598" s="43">
        <f>C598-G598</f>
        <v>2460000</v>
      </c>
      <c r="G598" s="43">
        <v>42540000</v>
      </c>
      <c r="H598" s="44">
        <v>100</v>
      </c>
      <c r="I598" s="28"/>
      <c r="J598" s="29"/>
      <c r="K598" s="30"/>
      <c r="L598" s="31"/>
    </row>
    <row r="599" spans="1:12" ht="17.25" thickBot="1" x14ac:dyDescent="0.3">
      <c r="A599" s="42"/>
      <c r="B599" s="42" t="s">
        <v>656</v>
      </c>
      <c r="C599" s="43">
        <v>45000000</v>
      </c>
      <c r="D599" s="42" t="s">
        <v>194</v>
      </c>
      <c r="E599" s="61">
        <v>44400000</v>
      </c>
      <c r="F599" s="43">
        <f>C599-G599</f>
        <v>600000</v>
      </c>
      <c r="G599" s="61">
        <v>44400000</v>
      </c>
      <c r="H599" s="44">
        <v>100</v>
      </c>
      <c r="I599" s="28"/>
      <c r="J599" s="29"/>
      <c r="K599" s="30"/>
      <c r="L599" s="31"/>
    </row>
    <row r="600" spans="1:12" ht="17.25" thickBot="1" x14ac:dyDescent="0.3">
      <c r="A600" s="42"/>
      <c r="B600" s="42" t="s">
        <v>657</v>
      </c>
      <c r="C600" s="43">
        <v>40000000</v>
      </c>
      <c r="D600" s="42" t="s">
        <v>194</v>
      </c>
      <c r="E600" s="43">
        <v>38295000</v>
      </c>
      <c r="F600" s="43">
        <f>C600-G600</f>
        <v>1705000</v>
      </c>
      <c r="G600" s="43">
        <v>38295000</v>
      </c>
      <c r="H600" s="44">
        <v>100</v>
      </c>
      <c r="I600" s="28"/>
      <c r="J600" s="29"/>
      <c r="K600" s="30"/>
      <c r="L600" s="31"/>
    </row>
    <row r="601" spans="1:12" ht="17.25" thickBot="1" x14ac:dyDescent="0.3">
      <c r="A601" s="42"/>
      <c r="B601" s="42" t="s">
        <v>658</v>
      </c>
      <c r="C601" s="43">
        <v>25000000</v>
      </c>
      <c r="D601" s="42" t="s">
        <v>194</v>
      </c>
      <c r="E601" s="43">
        <v>24808000</v>
      </c>
      <c r="F601" s="43">
        <f>C601-G601</f>
        <v>192000</v>
      </c>
      <c r="G601" s="43">
        <v>24808000</v>
      </c>
      <c r="H601" s="44">
        <v>100</v>
      </c>
      <c r="I601" s="28"/>
      <c r="J601" s="29"/>
      <c r="K601" s="30"/>
      <c r="L601" s="31"/>
    </row>
    <row r="602" spans="1:12" ht="17.25" thickBot="1" x14ac:dyDescent="0.3">
      <c r="A602" s="42"/>
      <c r="B602" s="42" t="s">
        <v>659</v>
      </c>
      <c r="C602" s="43">
        <v>40000000</v>
      </c>
      <c r="D602" s="42" t="s">
        <v>194</v>
      </c>
      <c r="E602" s="43">
        <v>38184000</v>
      </c>
      <c r="F602" s="43">
        <f>C602-G602</f>
        <v>1816000</v>
      </c>
      <c r="G602" s="43">
        <v>38184000</v>
      </c>
      <c r="H602" s="44">
        <v>100</v>
      </c>
      <c r="I602" s="28"/>
      <c r="J602" s="29"/>
      <c r="K602" s="30"/>
      <c r="L602" s="31"/>
    </row>
    <row r="603" spans="1:12" ht="17.25" thickBot="1" x14ac:dyDescent="0.3">
      <c r="A603" s="42"/>
      <c r="B603" s="42" t="s">
        <v>660</v>
      </c>
      <c r="C603" s="43">
        <v>40000000</v>
      </c>
      <c r="D603" s="42" t="s">
        <v>194</v>
      </c>
      <c r="E603" s="43">
        <v>39183000</v>
      </c>
      <c r="F603" s="43">
        <f>C603-G603</f>
        <v>817000</v>
      </c>
      <c r="G603" s="43">
        <v>39183000</v>
      </c>
      <c r="H603" s="44">
        <v>100</v>
      </c>
      <c r="I603" s="28"/>
      <c r="J603" s="29"/>
      <c r="K603" s="30"/>
      <c r="L603" s="31"/>
    </row>
    <row r="604" spans="1:12" ht="17.25" thickBot="1" x14ac:dyDescent="0.3">
      <c r="A604" s="42"/>
      <c r="B604" s="42" t="s">
        <v>661</v>
      </c>
      <c r="C604" s="43">
        <v>50000000</v>
      </c>
      <c r="D604" s="42" t="s">
        <v>194</v>
      </c>
      <c r="E604" s="43">
        <v>49173000</v>
      </c>
      <c r="F604" s="43">
        <f>C604-G598</f>
        <v>7460000</v>
      </c>
      <c r="G604" s="43">
        <v>49173000</v>
      </c>
      <c r="H604" s="44">
        <v>100</v>
      </c>
      <c r="I604" s="28"/>
      <c r="J604" s="29">
        <v>20</v>
      </c>
      <c r="K604" s="30"/>
      <c r="L604" s="31"/>
    </row>
    <row r="605" spans="1:12" ht="17.25" thickBot="1" x14ac:dyDescent="0.3">
      <c r="A605" s="42"/>
      <c r="B605" s="42" t="s">
        <v>662</v>
      </c>
      <c r="C605" s="43">
        <v>480000000</v>
      </c>
      <c r="D605" s="42" t="s">
        <v>89</v>
      </c>
      <c r="E605" s="62">
        <v>572267800</v>
      </c>
      <c r="F605" s="62">
        <f>C605+C606-E605</f>
        <v>6363200</v>
      </c>
      <c r="G605" s="63">
        <v>473636800</v>
      </c>
      <c r="H605" s="44">
        <v>100</v>
      </c>
      <c r="I605" s="28"/>
      <c r="J605" s="29">
        <v>5994000</v>
      </c>
      <c r="K605" s="30"/>
      <c r="L605" s="31"/>
    </row>
    <row r="606" spans="1:12" ht="17.25" thickBot="1" x14ac:dyDescent="0.3">
      <c r="A606" s="42"/>
      <c r="B606" s="42" t="s">
        <v>663</v>
      </c>
      <c r="C606" s="43">
        <v>98631000</v>
      </c>
      <c r="D606" s="42" t="s">
        <v>89</v>
      </c>
      <c r="E606" s="64"/>
      <c r="F606" s="64"/>
      <c r="G606" s="43">
        <v>98631000</v>
      </c>
      <c r="H606" s="44">
        <v>100</v>
      </c>
      <c r="I606" s="28"/>
      <c r="J606" s="29"/>
      <c r="K606" s="30"/>
      <c r="L606" s="31"/>
    </row>
    <row r="607" spans="1:12" ht="17.25" thickBot="1" x14ac:dyDescent="0.3">
      <c r="A607" s="42"/>
      <c r="B607" s="42" t="s">
        <v>664</v>
      </c>
      <c r="C607" s="43">
        <v>290000000</v>
      </c>
      <c r="D607" s="42" t="s">
        <v>89</v>
      </c>
      <c r="E607" s="43">
        <v>279455900</v>
      </c>
      <c r="F607" s="43">
        <f>C607-G607</f>
        <v>10544100</v>
      </c>
      <c r="G607" s="43">
        <f>279455900</f>
        <v>279455900</v>
      </c>
      <c r="H607" s="44">
        <v>100</v>
      </c>
      <c r="I607" s="28"/>
      <c r="J607" s="29">
        <v>983000</v>
      </c>
      <c r="K607" s="30"/>
      <c r="L607" s="31"/>
    </row>
    <row r="608" spans="1:12" ht="17.25" thickBot="1" x14ac:dyDescent="0.3">
      <c r="A608" s="42"/>
      <c r="B608" s="42" t="s">
        <v>665</v>
      </c>
      <c r="C608" s="43">
        <v>290000000</v>
      </c>
      <c r="D608" s="42" t="s">
        <v>89</v>
      </c>
      <c r="E608" s="43">
        <v>280730000</v>
      </c>
      <c r="F608" s="43">
        <f>C608-G608</f>
        <v>9270000</v>
      </c>
      <c r="G608" s="43">
        <f>280730000</f>
        <v>280730000</v>
      </c>
      <c r="H608" s="44">
        <v>100</v>
      </c>
      <c r="I608" s="28"/>
      <c r="J608" s="29">
        <v>6054000</v>
      </c>
      <c r="K608" s="30"/>
      <c r="L608" s="31"/>
    </row>
    <row r="609" spans="1:12" ht="17.25" thickBot="1" x14ac:dyDescent="0.3">
      <c r="A609" s="42"/>
      <c r="B609" s="42" t="s">
        <v>666</v>
      </c>
      <c r="C609" s="43">
        <v>1410000000</v>
      </c>
      <c r="D609" s="42" t="s">
        <v>89</v>
      </c>
      <c r="E609" s="43">
        <v>1391163000</v>
      </c>
      <c r="F609" s="43">
        <f>C609-G609</f>
        <v>18837000</v>
      </c>
      <c r="G609" s="43">
        <v>1391163000</v>
      </c>
      <c r="H609" s="44">
        <v>100</v>
      </c>
      <c r="I609" s="28"/>
      <c r="J609" s="29"/>
      <c r="K609" s="30"/>
      <c r="L609" s="31"/>
    </row>
    <row r="610" spans="1:12" ht="17.25" thickBot="1" x14ac:dyDescent="0.3">
      <c r="A610" s="42"/>
      <c r="B610" s="42" t="s">
        <v>667</v>
      </c>
      <c r="C610" s="43">
        <v>197000000</v>
      </c>
      <c r="D610" s="42" t="s">
        <v>89</v>
      </c>
      <c r="E610" s="43">
        <v>195000000</v>
      </c>
      <c r="F610" s="43">
        <f>C610-G610</f>
        <v>2000000</v>
      </c>
      <c r="G610" s="43">
        <v>195000000</v>
      </c>
      <c r="H610" s="44">
        <v>100</v>
      </c>
      <c r="I610" s="28"/>
      <c r="J610" s="29">
        <v>21</v>
      </c>
      <c r="K610" s="30"/>
      <c r="L610" s="31"/>
    </row>
    <row r="611" spans="1:12" ht="17.25" thickBot="1" x14ac:dyDescent="0.3">
      <c r="A611" s="42"/>
      <c r="B611" s="42" t="s">
        <v>668</v>
      </c>
      <c r="C611" s="43">
        <v>148631000</v>
      </c>
      <c r="D611" s="42" t="s">
        <v>89</v>
      </c>
      <c r="E611" s="43">
        <v>146305000</v>
      </c>
      <c r="F611" s="43">
        <f>C611-G611</f>
        <v>2326000</v>
      </c>
      <c r="G611" s="43">
        <v>146305000</v>
      </c>
      <c r="H611" s="44">
        <v>100</v>
      </c>
      <c r="I611" s="28"/>
      <c r="J611" s="29">
        <v>22</v>
      </c>
      <c r="K611" s="30"/>
      <c r="L611" s="31"/>
    </row>
    <row r="612" spans="1:12" ht="17.25" thickBot="1" x14ac:dyDescent="0.3">
      <c r="A612" s="42"/>
      <c r="B612" s="42" t="s">
        <v>669</v>
      </c>
      <c r="C612" s="43">
        <v>191000000</v>
      </c>
      <c r="D612" s="42" t="s">
        <v>89</v>
      </c>
      <c r="E612" s="43">
        <v>188866000</v>
      </c>
      <c r="F612" s="43">
        <f>C612-G612</f>
        <v>2134000</v>
      </c>
      <c r="G612" s="43">
        <v>188866000</v>
      </c>
      <c r="H612" s="44">
        <v>100</v>
      </c>
      <c r="I612" s="28"/>
      <c r="J612" s="29">
        <v>23</v>
      </c>
      <c r="K612" s="30"/>
      <c r="L612" s="31"/>
    </row>
    <row r="613" spans="1:12" ht="17.25" thickBot="1" x14ac:dyDescent="0.3">
      <c r="A613" s="42"/>
      <c r="B613" s="42" t="s">
        <v>670</v>
      </c>
      <c r="C613" s="43">
        <v>183631000</v>
      </c>
      <c r="D613" s="42" t="s">
        <v>89</v>
      </c>
      <c r="E613" s="43">
        <v>181820000</v>
      </c>
      <c r="F613" s="43">
        <f>C613-G613</f>
        <v>1811000</v>
      </c>
      <c r="G613" s="43">
        <v>181820000</v>
      </c>
      <c r="H613" s="44">
        <v>100</v>
      </c>
      <c r="I613" s="28"/>
      <c r="J613" s="29">
        <v>24</v>
      </c>
      <c r="K613" s="30"/>
      <c r="L613" s="31"/>
    </row>
    <row r="614" spans="1:12" ht="17.25" thickBot="1" x14ac:dyDescent="0.3">
      <c r="A614" s="42"/>
      <c r="B614" s="42" t="s">
        <v>671</v>
      </c>
      <c r="C614" s="43">
        <v>183631000</v>
      </c>
      <c r="D614" s="42" t="s">
        <v>89</v>
      </c>
      <c r="E614" s="43">
        <v>182035000</v>
      </c>
      <c r="F614" s="43">
        <f>C614-G614</f>
        <v>1596000</v>
      </c>
      <c r="G614" s="43">
        <v>182035000</v>
      </c>
      <c r="H614" s="44">
        <v>100</v>
      </c>
      <c r="I614" s="28"/>
      <c r="J614" s="29">
        <v>25</v>
      </c>
      <c r="K614" s="30"/>
      <c r="L614" s="31"/>
    </row>
    <row r="615" spans="1:12" ht="17.25" thickBot="1" x14ac:dyDescent="0.3">
      <c r="A615" s="42"/>
      <c r="B615" s="42" t="s">
        <v>672</v>
      </c>
      <c r="C615" s="43">
        <v>183631000</v>
      </c>
      <c r="D615" s="42" t="s">
        <v>89</v>
      </c>
      <c r="E615" s="43">
        <v>181645000</v>
      </c>
      <c r="F615" s="43">
        <f>C615-G615</f>
        <v>1986000</v>
      </c>
      <c r="G615" s="43">
        <v>181645000</v>
      </c>
      <c r="H615" s="44">
        <v>100</v>
      </c>
      <c r="I615" s="28"/>
      <c r="J615" s="29">
        <v>26</v>
      </c>
      <c r="K615" s="30"/>
      <c r="L615" s="31"/>
    </row>
    <row r="616" spans="1:12" ht="17.25" thickBot="1" x14ac:dyDescent="0.3">
      <c r="A616" s="42"/>
      <c r="B616" s="42" t="s">
        <v>673</v>
      </c>
      <c r="C616" s="43">
        <v>183631000</v>
      </c>
      <c r="D616" s="42" t="s">
        <v>89</v>
      </c>
      <c r="E616" s="43">
        <v>182000000</v>
      </c>
      <c r="F616" s="43">
        <f>C616-G616</f>
        <v>1631000</v>
      </c>
      <c r="G616" s="43">
        <v>182000000</v>
      </c>
      <c r="H616" s="44">
        <v>100</v>
      </c>
      <c r="I616" s="28"/>
      <c r="J616" s="29"/>
      <c r="K616" s="30"/>
      <c r="L616" s="31"/>
    </row>
    <row r="617" spans="1:12" ht="17.25" thickBot="1" x14ac:dyDescent="0.3">
      <c r="A617" s="42"/>
      <c r="B617" s="42" t="s">
        <v>674</v>
      </c>
      <c r="C617" s="43">
        <v>191000000</v>
      </c>
      <c r="D617" s="42" t="s">
        <v>89</v>
      </c>
      <c r="E617" s="43">
        <v>189998000</v>
      </c>
      <c r="F617" s="43">
        <f>C617-G617</f>
        <v>1002000</v>
      </c>
      <c r="G617" s="43">
        <v>189998000</v>
      </c>
      <c r="H617" s="44">
        <v>100</v>
      </c>
      <c r="I617" s="28"/>
      <c r="J617" s="29">
        <v>27</v>
      </c>
      <c r="K617" s="30"/>
      <c r="L617" s="31"/>
    </row>
    <row r="618" spans="1:12" ht="17.25" thickBot="1" x14ac:dyDescent="0.3">
      <c r="A618" s="42"/>
      <c r="B618" s="42" t="s">
        <v>675</v>
      </c>
      <c r="C618" s="43">
        <v>197000000</v>
      </c>
      <c r="D618" s="42" t="s">
        <v>89</v>
      </c>
      <c r="E618" s="43">
        <v>195005000</v>
      </c>
      <c r="F618" s="43">
        <f>C618-G618</f>
        <v>1995000</v>
      </c>
      <c r="G618" s="43">
        <v>195005000</v>
      </c>
      <c r="H618" s="44">
        <v>100</v>
      </c>
      <c r="I618" s="28"/>
      <c r="J618" s="29"/>
      <c r="K618" s="30"/>
      <c r="L618" s="31"/>
    </row>
    <row r="619" spans="1:12" ht="17.25" thickBot="1" x14ac:dyDescent="0.3">
      <c r="A619" s="42"/>
      <c r="B619" s="42" t="s">
        <v>676</v>
      </c>
      <c r="C619" s="43">
        <v>191000000</v>
      </c>
      <c r="D619" s="42" t="s">
        <v>89</v>
      </c>
      <c r="E619" s="43">
        <v>189006000</v>
      </c>
      <c r="F619" s="43">
        <f>C619-G619</f>
        <v>1994000</v>
      </c>
      <c r="G619" s="43">
        <v>189006000</v>
      </c>
      <c r="H619" s="44">
        <v>100</v>
      </c>
      <c r="I619" s="28"/>
      <c r="J619" s="29">
        <v>28</v>
      </c>
      <c r="K619" s="30"/>
      <c r="L619" s="31"/>
    </row>
    <row r="620" spans="1:12" ht="17.25" thickBot="1" x14ac:dyDescent="0.3">
      <c r="A620" s="42"/>
      <c r="B620" s="42" t="s">
        <v>677</v>
      </c>
      <c r="C620" s="43">
        <v>191000000</v>
      </c>
      <c r="D620" s="42" t="s">
        <v>89</v>
      </c>
      <c r="E620" s="43">
        <v>189646000</v>
      </c>
      <c r="F620" s="43">
        <f>C620-G620</f>
        <v>1354000</v>
      </c>
      <c r="G620" s="43">
        <v>189646000</v>
      </c>
      <c r="H620" s="44">
        <v>100</v>
      </c>
      <c r="I620" s="28"/>
      <c r="J620" s="29">
        <v>29</v>
      </c>
      <c r="K620" s="30"/>
      <c r="L620" s="31"/>
    </row>
    <row r="621" spans="1:12" ht="17.25" thickBot="1" x14ac:dyDescent="0.3">
      <c r="A621" s="42"/>
      <c r="B621" s="42" t="s">
        <v>678</v>
      </c>
      <c r="C621" s="43">
        <v>148631000</v>
      </c>
      <c r="D621" s="42" t="s">
        <v>89</v>
      </c>
      <c r="E621" s="43">
        <v>147100000</v>
      </c>
      <c r="F621" s="43">
        <f>C621-G621</f>
        <v>1531000</v>
      </c>
      <c r="G621" s="43">
        <v>147100000</v>
      </c>
      <c r="H621" s="44">
        <v>100</v>
      </c>
      <c r="I621" s="28"/>
      <c r="J621" s="29">
        <v>30</v>
      </c>
      <c r="K621" s="30"/>
      <c r="L621" s="31"/>
    </row>
    <row r="622" spans="1:12" ht="17.25" thickBot="1" x14ac:dyDescent="0.3">
      <c r="A622" s="42"/>
      <c r="B622" s="42" t="s">
        <v>679</v>
      </c>
      <c r="C622" s="43">
        <v>191000000</v>
      </c>
      <c r="D622" s="42" t="s">
        <v>89</v>
      </c>
      <c r="E622" s="43">
        <v>188996000</v>
      </c>
      <c r="F622" s="43">
        <f>C622-G622</f>
        <v>2004000</v>
      </c>
      <c r="G622" s="43">
        <v>188996000</v>
      </c>
      <c r="H622" s="44">
        <v>100</v>
      </c>
      <c r="I622" s="28"/>
      <c r="J622" s="29">
        <v>31</v>
      </c>
      <c r="K622" s="30"/>
      <c r="L622" s="31"/>
    </row>
    <row r="623" spans="1:12" ht="17.25" thickBot="1" x14ac:dyDescent="0.3">
      <c r="A623" s="42"/>
      <c r="B623" s="42" t="s">
        <v>680</v>
      </c>
      <c r="C623" s="43">
        <v>191000000</v>
      </c>
      <c r="D623" s="42" t="s">
        <v>89</v>
      </c>
      <c r="E623" s="43">
        <v>188809000</v>
      </c>
      <c r="F623" s="43">
        <f>C623-G623</f>
        <v>2191000</v>
      </c>
      <c r="G623" s="43">
        <v>188809000</v>
      </c>
      <c r="H623" s="44">
        <v>100</v>
      </c>
      <c r="I623" s="28"/>
      <c r="J623" s="29"/>
      <c r="K623" s="30"/>
      <c r="L623" s="31"/>
    </row>
    <row r="624" spans="1:12" ht="17.25" thickBot="1" x14ac:dyDescent="0.3">
      <c r="A624" s="42"/>
      <c r="B624" s="42" t="s">
        <v>681</v>
      </c>
      <c r="C624" s="43">
        <v>191000000</v>
      </c>
      <c r="D624" s="42" t="s">
        <v>89</v>
      </c>
      <c r="E624" s="43">
        <v>189430000</v>
      </c>
      <c r="F624" s="43">
        <f>C624-G624</f>
        <v>1570000</v>
      </c>
      <c r="G624" s="43">
        <f>189430000</f>
        <v>189430000</v>
      </c>
      <c r="H624" s="44">
        <v>100</v>
      </c>
      <c r="I624" s="28"/>
      <c r="J624" s="29">
        <v>1251000</v>
      </c>
      <c r="K624" s="30"/>
      <c r="L624" s="31"/>
    </row>
    <row r="625" spans="1:12" ht="17.25" thickBot="1" x14ac:dyDescent="0.3">
      <c r="A625" s="42"/>
      <c r="B625" s="42" t="s">
        <v>682</v>
      </c>
      <c r="C625" s="43">
        <v>191000000</v>
      </c>
      <c r="D625" s="42" t="s">
        <v>89</v>
      </c>
      <c r="E625" s="43">
        <v>188800000</v>
      </c>
      <c r="F625" s="43">
        <f>C625-G625</f>
        <v>2200000</v>
      </c>
      <c r="G625" s="43">
        <v>188800000</v>
      </c>
      <c r="H625" s="44">
        <v>100</v>
      </c>
      <c r="I625" s="28"/>
      <c r="J625" s="29">
        <v>33</v>
      </c>
      <c r="K625" s="30"/>
      <c r="L625" s="31"/>
    </row>
    <row r="626" spans="1:12" ht="17.25" thickBot="1" x14ac:dyDescent="0.3">
      <c r="A626" s="42"/>
      <c r="B626" s="42" t="s">
        <v>683</v>
      </c>
      <c r="C626" s="43">
        <v>191000000</v>
      </c>
      <c r="D626" s="42" t="s">
        <v>89</v>
      </c>
      <c r="E626" s="43">
        <v>188880000</v>
      </c>
      <c r="F626" s="43">
        <f>C626-G626</f>
        <v>2120000</v>
      </c>
      <c r="G626" s="43">
        <v>188880000</v>
      </c>
      <c r="H626" s="44">
        <v>100</v>
      </c>
      <c r="I626" s="28"/>
      <c r="J626" s="29">
        <v>34</v>
      </c>
      <c r="K626" s="30"/>
      <c r="L626" s="31"/>
    </row>
    <row r="627" spans="1:12" ht="17.25" thickBot="1" x14ac:dyDescent="0.3">
      <c r="A627" s="42"/>
      <c r="B627" s="42" t="s">
        <v>684</v>
      </c>
      <c r="C627" s="43">
        <v>191000000</v>
      </c>
      <c r="D627" s="42" t="s">
        <v>89</v>
      </c>
      <c r="E627" s="43">
        <v>188795000</v>
      </c>
      <c r="F627" s="43">
        <f>C627-G627</f>
        <v>2205000</v>
      </c>
      <c r="G627" s="43">
        <f>188795000</f>
        <v>188795000</v>
      </c>
      <c r="H627" s="44">
        <v>100</v>
      </c>
      <c r="I627" s="28"/>
      <c r="J627" s="29">
        <v>5536000</v>
      </c>
      <c r="K627" s="30"/>
      <c r="L627" s="31"/>
    </row>
    <row r="628" spans="1:12" ht="17.25" thickBot="1" x14ac:dyDescent="0.3">
      <c r="A628" s="42"/>
      <c r="B628" s="42" t="s">
        <v>685</v>
      </c>
      <c r="C628" s="43">
        <v>191000000</v>
      </c>
      <c r="D628" s="42" t="s">
        <v>89</v>
      </c>
      <c r="E628" s="43">
        <v>188823000</v>
      </c>
      <c r="F628" s="43">
        <f>C628-G628</f>
        <v>2177000</v>
      </c>
      <c r="G628" s="43">
        <f>188823000</f>
        <v>188823000</v>
      </c>
      <c r="H628" s="44">
        <v>100</v>
      </c>
      <c r="I628" s="28"/>
      <c r="J628" s="29">
        <v>25634000</v>
      </c>
      <c r="K628" s="30"/>
      <c r="L628" s="31"/>
    </row>
    <row r="629" spans="1:12" ht="17.25" thickBot="1" x14ac:dyDescent="0.3">
      <c r="A629" s="42"/>
      <c r="B629" s="42" t="s">
        <v>686</v>
      </c>
      <c r="C629" s="43">
        <v>191000000</v>
      </c>
      <c r="D629" s="42" t="s">
        <v>89</v>
      </c>
      <c r="E629" s="43">
        <v>189001000</v>
      </c>
      <c r="F629" s="43">
        <f>C629-G629</f>
        <v>1999000</v>
      </c>
      <c r="G629" s="43">
        <v>189001000</v>
      </c>
      <c r="H629" s="44">
        <v>100</v>
      </c>
      <c r="I629" s="28"/>
      <c r="J629" s="29">
        <v>37</v>
      </c>
      <c r="K629" s="30"/>
      <c r="L629" s="31"/>
    </row>
    <row r="630" spans="1:12" ht="17.25" thickBot="1" x14ac:dyDescent="0.3">
      <c r="A630" s="42"/>
      <c r="B630" s="42" t="s">
        <v>687</v>
      </c>
      <c r="C630" s="43">
        <v>148631000</v>
      </c>
      <c r="D630" s="42" t="s">
        <v>89</v>
      </c>
      <c r="E630" s="65">
        <v>334822200</v>
      </c>
      <c r="F630" s="43">
        <f>C630-G630</f>
        <v>0</v>
      </c>
      <c r="G630" s="43">
        <f>148631000</f>
        <v>148631000</v>
      </c>
      <c r="H630" s="44">
        <v>100</v>
      </c>
      <c r="I630" s="28"/>
      <c r="J630" s="29">
        <v>16146500</v>
      </c>
      <c r="K630" s="30"/>
      <c r="L630" s="31"/>
    </row>
    <row r="631" spans="1:12" ht="17.25" thickBot="1" x14ac:dyDescent="0.3">
      <c r="A631" s="42"/>
      <c r="B631" s="42" t="s">
        <v>688</v>
      </c>
      <c r="C631" s="43">
        <v>191000000</v>
      </c>
      <c r="D631" s="42" t="s">
        <v>89</v>
      </c>
      <c r="E631" s="66"/>
      <c r="F631" s="43">
        <f>C631-G631</f>
        <v>0</v>
      </c>
      <c r="G631" s="43">
        <f>191000000</f>
        <v>191000000</v>
      </c>
      <c r="H631" s="44">
        <v>100</v>
      </c>
      <c r="I631" s="28"/>
      <c r="J631" s="29">
        <v>16146500</v>
      </c>
      <c r="K631" s="30"/>
      <c r="L631" s="31"/>
    </row>
    <row r="632" spans="1:12" ht="17.25" thickBot="1" x14ac:dyDescent="0.3">
      <c r="A632" s="42"/>
      <c r="B632" s="42" t="s">
        <v>689</v>
      </c>
      <c r="C632" s="43">
        <v>191000000</v>
      </c>
      <c r="D632" s="42" t="s">
        <v>89</v>
      </c>
      <c r="E632" s="43">
        <v>190000000</v>
      </c>
      <c r="F632" s="43">
        <f>C632-G632</f>
        <v>1000000</v>
      </c>
      <c r="G632" s="43">
        <v>190000000</v>
      </c>
      <c r="H632" s="44">
        <v>100</v>
      </c>
      <c r="I632" s="28"/>
      <c r="J632" s="29">
        <v>38</v>
      </c>
      <c r="K632" s="30"/>
      <c r="L632" s="31"/>
    </row>
    <row r="633" spans="1:12" ht="17.25" thickBot="1" x14ac:dyDescent="0.3">
      <c r="A633" s="42"/>
      <c r="B633" s="42" t="s">
        <v>690</v>
      </c>
      <c r="C633" s="43">
        <v>191000000</v>
      </c>
      <c r="D633" s="42" t="s">
        <v>89</v>
      </c>
      <c r="E633" s="43">
        <v>189500000</v>
      </c>
      <c r="F633" s="43">
        <f>C633-G633</f>
        <v>1500000</v>
      </c>
      <c r="G633" s="43">
        <f>189500000</f>
        <v>189500000</v>
      </c>
      <c r="H633" s="44">
        <v>100</v>
      </c>
      <c r="I633" s="28"/>
      <c r="J633" s="29">
        <v>1363000</v>
      </c>
      <c r="K633" s="30"/>
      <c r="L633" s="31"/>
    </row>
    <row r="634" spans="1:12" ht="17.25" thickBot="1" x14ac:dyDescent="0.3">
      <c r="A634" s="42"/>
      <c r="B634" s="42" t="s">
        <v>691</v>
      </c>
      <c r="C634" s="43">
        <v>191000000</v>
      </c>
      <c r="D634" s="42" t="s">
        <v>89</v>
      </c>
      <c r="E634" s="43">
        <v>188807000</v>
      </c>
      <c r="F634" s="43">
        <f>C634-G634</f>
        <v>2193000</v>
      </c>
      <c r="G634" s="43">
        <v>188807000</v>
      </c>
      <c r="H634" s="44">
        <v>100</v>
      </c>
      <c r="I634" s="28"/>
      <c r="J634" s="29">
        <v>40</v>
      </c>
      <c r="K634" s="30"/>
      <c r="L634" s="31"/>
    </row>
    <row r="635" spans="1:12" ht="17.25" thickBot="1" x14ac:dyDescent="0.3">
      <c r="A635" s="42"/>
      <c r="B635" s="42" t="s">
        <v>692</v>
      </c>
      <c r="C635" s="43">
        <v>191000000</v>
      </c>
      <c r="D635" s="42" t="s">
        <v>89</v>
      </c>
      <c r="E635" s="43">
        <v>189915000</v>
      </c>
      <c r="F635" s="43">
        <f>C635-G635</f>
        <v>1085000</v>
      </c>
      <c r="G635" s="43">
        <v>189915000</v>
      </c>
      <c r="H635" s="44">
        <v>100</v>
      </c>
      <c r="I635" s="28"/>
      <c r="J635" s="29">
        <v>41</v>
      </c>
      <c r="K635" s="30"/>
      <c r="L635" s="31"/>
    </row>
    <row r="636" spans="1:12" ht="17.25" thickBot="1" x14ac:dyDescent="0.3">
      <c r="A636" s="42"/>
      <c r="B636" s="42" t="s">
        <v>693</v>
      </c>
      <c r="C636" s="43">
        <v>191000000</v>
      </c>
      <c r="D636" s="42" t="s">
        <v>89</v>
      </c>
      <c r="E636" s="43">
        <v>189544000</v>
      </c>
      <c r="F636" s="43">
        <f>C636-G636</f>
        <v>1456000</v>
      </c>
      <c r="G636" s="43">
        <v>189544000</v>
      </c>
      <c r="H636" s="44">
        <v>100</v>
      </c>
      <c r="I636" s="28"/>
      <c r="J636" s="29">
        <v>42</v>
      </c>
      <c r="K636" s="30"/>
      <c r="L636" s="31"/>
    </row>
    <row r="637" spans="1:12" ht="17.25" thickBot="1" x14ac:dyDescent="0.3">
      <c r="A637" s="42"/>
      <c r="B637" s="42" t="s">
        <v>694</v>
      </c>
      <c r="C637" s="43">
        <v>191000000</v>
      </c>
      <c r="D637" s="42" t="s">
        <v>89</v>
      </c>
      <c r="E637" s="43">
        <v>188923000</v>
      </c>
      <c r="F637" s="43">
        <f>C637-G637</f>
        <v>2077000</v>
      </c>
      <c r="G637" s="43">
        <v>188923000</v>
      </c>
      <c r="H637" s="44">
        <v>100</v>
      </c>
      <c r="I637" s="28"/>
      <c r="J637" s="29">
        <v>43</v>
      </c>
      <c r="K637" s="30"/>
      <c r="L637" s="31"/>
    </row>
    <row r="638" spans="1:12" ht="17.25" thickBot="1" x14ac:dyDescent="0.3">
      <c r="A638" s="42"/>
      <c r="B638" s="42" t="s">
        <v>695</v>
      </c>
      <c r="C638" s="43">
        <v>191000000</v>
      </c>
      <c r="D638" s="42" t="s">
        <v>89</v>
      </c>
      <c r="E638" s="43">
        <v>189453000</v>
      </c>
      <c r="F638" s="43">
        <f>C638-G638</f>
        <v>1547000</v>
      </c>
      <c r="G638" s="43">
        <f>189453000</f>
        <v>189453000</v>
      </c>
      <c r="H638" s="44">
        <v>100</v>
      </c>
      <c r="I638" s="28"/>
      <c r="J638" s="29">
        <v>4828000</v>
      </c>
      <c r="K638" s="30"/>
      <c r="L638" s="31"/>
    </row>
    <row r="639" spans="1:12" ht="17.25" thickBot="1" x14ac:dyDescent="0.3">
      <c r="A639" s="42"/>
      <c r="B639" s="42" t="s">
        <v>696</v>
      </c>
      <c r="C639" s="43">
        <v>191000000</v>
      </c>
      <c r="D639" s="42" t="s">
        <v>89</v>
      </c>
      <c r="E639" s="43">
        <v>189548000</v>
      </c>
      <c r="F639" s="43">
        <f>C639-G639</f>
        <v>1452000</v>
      </c>
      <c r="G639" s="43">
        <v>189548000</v>
      </c>
      <c r="H639" s="44">
        <v>100</v>
      </c>
      <c r="I639" s="28"/>
      <c r="J639" s="29">
        <v>45</v>
      </c>
      <c r="K639" s="30"/>
      <c r="L639" s="31"/>
    </row>
    <row r="640" spans="1:12" ht="17.25" thickBot="1" x14ac:dyDescent="0.3">
      <c r="A640" s="42"/>
      <c r="B640" s="42" t="s">
        <v>697</v>
      </c>
      <c r="C640" s="43">
        <v>197000000</v>
      </c>
      <c r="D640" s="42" t="s">
        <v>89</v>
      </c>
      <c r="E640" s="43">
        <v>194373000</v>
      </c>
      <c r="F640" s="43">
        <f>C640-G640</f>
        <v>2627000</v>
      </c>
      <c r="G640" s="43">
        <v>194373000</v>
      </c>
      <c r="H640" s="44">
        <v>100</v>
      </c>
      <c r="I640" s="28"/>
      <c r="J640" s="29">
        <v>46</v>
      </c>
      <c r="K640" s="30"/>
      <c r="L640" s="31"/>
    </row>
    <row r="641" spans="1:12" ht="17.25" thickBot="1" x14ac:dyDescent="0.3">
      <c r="A641" s="42"/>
      <c r="B641" s="42" t="s">
        <v>698</v>
      </c>
      <c r="C641" s="43">
        <v>175000000</v>
      </c>
      <c r="D641" s="42" t="s">
        <v>89</v>
      </c>
      <c r="E641" s="43">
        <v>173147000</v>
      </c>
      <c r="F641" s="43">
        <f>C641-G641</f>
        <v>1853000</v>
      </c>
      <c r="G641" s="43">
        <v>173147000</v>
      </c>
      <c r="H641" s="44">
        <v>100</v>
      </c>
      <c r="I641" s="28"/>
      <c r="J641" s="29">
        <v>47</v>
      </c>
      <c r="K641" s="30"/>
      <c r="L641" s="31"/>
    </row>
    <row r="642" spans="1:12" ht="17.25" thickBot="1" x14ac:dyDescent="0.3">
      <c r="A642" s="42"/>
      <c r="B642" s="42" t="s">
        <v>699</v>
      </c>
      <c r="C642" s="43">
        <v>40000000</v>
      </c>
      <c r="D642" s="42" t="s">
        <v>194</v>
      </c>
      <c r="E642" s="43">
        <v>39432750</v>
      </c>
      <c r="F642" s="43">
        <f>C642-G642</f>
        <v>567250</v>
      </c>
      <c r="G642" s="43">
        <v>39432750</v>
      </c>
      <c r="H642" s="44">
        <v>100</v>
      </c>
      <c r="I642" s="28"/>
      <c r="J642" s="29">
        <v>48</v>
      </c>
      <c r="K642" s="30"/>
      <c r="L642" s="31"/>
    </row>
    <row r="643" spans="1:12" ht="17.25" thickBot="1" x14ac:dyDescent="0.3">
      <c r="A643" s="42"/>
      <c r="B643" s="42" t="s">
        <v>700</v>
      </c>
      <c r="C643" s="43">
        <v>45000000</v>
      </c>
      <c r="D643" s="42" t="s">
        <v>194</v>
      </c>
      <c r="E643" s="43">
        <v>44383000</v>
      </c>
      <c r="F643" s="43">
        <f>C643-G643</f>
        <v>617000</v>
      </c>
      <c r="G643" s="43">
        <v>44383000</v>
      </c>
      <c r="H643" s="44">
        <v>100</v>
      </c>
      <c r="I643" s="28"/>
      <c r="J643" s="29"/>
      <c r="K643" s="30"/>
      <c r="L643" s="31"/>
    </row>
    <row r="644" spans="1:12" ht="17.25" thickBot="1" x14ac:dyDescent="0.3">
      <c r="A644" s="42"/>
      <c r="B644" s="42" t="s">
        <v>701</v>
      </c>
      <c r="C644" s="43">
        <v>700000000</v>
      </c>
      <c r="D644" s="42" t="s">
        <v>89</v>
      </c>
      <c r="E644" s="43">
        <v>697562500</v>
      </c>
      <c r="F644" s="43">
        <f>C644-G644</f>
        <v>2437500</v>
      </c>
      <c r="G644" s="43">
        <v>697562500</v>
      </c>
      <c r="H644" s="44">
        <v>100</v>
      </c>
      <c r="I644" s="28"/>
      <c r="J644" s="29"/>
      <c r="K644" s="30"/>
      <c r="L644" s="31"/>
    </row>
    <row r="645" spans="1:12" ht="17.25" thickBot="1" x14ac:dyDescent="0.3">
      <c r="A645" s="42"/>
      <c r="B645" s="42" t="s">
        <v>702</v>
      </c>
      <c r="C645" s="43">
        <v>290000000</v>
      </c>
      <c r="D645" s="42" t="s">
        <v>89</v>
      </c>
      <c r="E645" s="43">
        <v>286855000</v>
      </c>
      <c r="F645" s="43">
        <f>C645-G645</f>
        <v>3145000</v>
      </c>
      <c r="G645" s="43">
        <v>286855000</v>
      </c>
      <c r="H645" s="44">
        <v>100</v>
      </c>
      <c r="I645" s="28"/>
      <c r="J645" s="29"/>
      <c r="K645" s="30"/>
      <c r="L645" s="31"/>
    </row>
    <row r="646" spans="1:12" ht="17.25" thickBot="1" x14ac:dyDescent="0.3">
      <c r="A646" s="42"/>
      <c r="B646" s="42" t="s">
        <v>703</v>
      </c>
      <c r="C646" s="43">
        <v>290000000</v>
      </c>
      <c r="D646" s="42" t="s">
        <v>89</v>
      </c>
      <c r="E646" s="43">
        <v>287537850</v>
      </c>
      <c r="F646" s="43">
        <f>C646-G646</f>
        <v>2462150</v>
      </c>
      <c r="G646" s="43">
        <f>287537850</f>
        <v>287537850</v>
      </c>
      <c r="H646" s="44">
        <v>100</v>
      </c>
      <c r="I646" s="28"/>
      <c r="J646" s="29">
        <v>6144000</v>
      </c>
      <c r="K646" s="30"/>
      <c r="L646" s="31"/>
    </row>
    <row r="647" spans="1:12" ht="17.25" thickBot="1" x14ac:dyDescent="0.3">
      <c r="A647" s="42"/>
      <c r="B647" s="42" t="s">
        <v>704</v>
      </c>
      <c r="C647" s="43">
        <v>480000000</v>
      </c>
      <c r="D647" s="42" t="s">
        <v>89</v>
      </c>
      <c r="E647" s="43">
        <v>469753000</v>
      </c>
      <c r="F647" s="43">
        <f>C647-G647</f>
        <v>10247000</v>
      </c>
      <c r="G647" s="43">
        <f>140925900+328827100</f>
        <v>469753000</v>
      </c>
      <c r="H647" s="44">
        <v>100</v>
      </c>
      <c r="I647" s="28"/>
      <c r="J647" s="29">
        <v>22349000</v>
      </c>
      <c r="K647" s="30"/>
      <c r="L647" s="31"/>
    </row>
    <row r="648" spans="1:12" ht="17.25" thickBot="1" x14ac:dyDescent="0.3">
      <c r="A648" s="42"/>
      <c r="B648" s="42" t="s">
        <v>705</v>
      </c>
      <c r="C648" s="43">
        <v>290000000</v>
      </c>
      <c r="D648" s="42" t="s">
        <v>89</v>
      </c>
      <c r="E648" s="43">
        <v>286212000</v>
      </c>
      <c r="F648" s="43">
        <f>C648-G648</f>
        <v>3788000</v>
      </c>
      <c r="G648" s="43">
        <f>85863600+200348400</f>
        <v>286212000</v>
      </c>
      <c r="H648" s="44">
        <v>100</v>
      </c>
      <c r="I648" s="28"/>
      <c r="J648" s="29">
        <v>6703000</v>
      </c>
      <c r="K648" s="30"/>
      <c r="L648" s="31"/>
    </row>
    <row r="649" spans="1:12" ht="17.25" thickBot="1" x14ac:dyDescent="0.3">
      <c r="A649" s="42"/>
      <c r="B649" s="42" t="s">
        <v>706</v>
      </c>
      <c r="C649" s="43">
        <v>197000000</v>
      </c>
      <c r="D649" s="42" t="s">
        <v>89</v>
      </c>
      <c r="E649" s="43">
        <v>193025000</v>
      </c>
      <c r="F649" s="43">
        <f>C649-G649</f>
        <v>3975000</v>
      </c>
      <c r="G649" s="43">
        <v>193025000</v>
      </c>
      <c r="H649" s="44">
        <v>100</v>
      </c>
      <c r="I649" s="28"/>
      <c r="J649" s="29">
        <v>51</v>
      </c>
      <c r="K649" s="30"/>
      <c r="L649" s="31"/>
    </row>
    <row r="650" spans="1:12" ht="17.25" thickBot="1" x14ac:dyDescent="0.3">
      <c r="A650" s="42"/>
      <c r="B650" s="42" t="s">
        <v>707</v>
      </c>
      <c r="C650" s="43">
        <v>148631000</v>
      </c>
      <c r="D650" s="42" t="s">
        <v>89</v>
      </c>
      <c r="E650" s="43">
        <v>145475000</v>
      </c>
      <c r="F650" s="43">
        <f>C650-G650</f>
        <v>3156000</v>
      </c>
      <c r="G650" s="43">
        <v>145475000</v>
      </c>
      <c r="H650" s="44">
        <v>100</v>
      </c>
      <c r="I650" s="28"/>
      <c r="J650" s="29">
        <v>52</v>
      </c>
      <c r="K650" s="30"/>
      <c r="L650" s="31"/>
    </row>
    <row r="651" spans="1:12" ht="17.25" thickBot="1" x14ac:dyDescent="0.3">
      <c r="A651" s="42"/>
      <c r="B651" s="42" t="s">
        <v>708</v>
      </c>
      <c r="C651" s="43">
        <v>148631000</v>
      </c>
      <c r="D651" s="42" t="s">
        <v>89</v>
      </c>
      <c r="E651" s="43">
        <v>145924000</v>
      </c>
      <c r="F651" s="43">
        <f>C651-G651</f>
        <v>2707000</v>
      </c>
      <c r="G651" s="43">
        <f>145924000</f>
        <v>145924000</v>
      </c>
      <c r="H651" s="44">
        <v>100</v>
      </c>
      <c r="I651" s="28"/>
      <c r="J651" s="29">
        <v>1960000</v>
      </c>
      <c r="K651" s="30"/>
      <c r="L651" s="31"/>
    </row>
    <row r="652" spans="1:12" ht="17.25" thickBot="1" x14ac:dyDescent="0.3">
      <c r="A652" s="42"/>
      <c r="B652" s="42" t="s">
        <v>709</v>
      </c>
      <c r="C652" s="43">
        <v>191000000</v>
      </c>
      <c r="D652" s="42" t="s">
        <v>89</v>
      </c>
      <c r="E652" s="43">
        <v>187346000</v>
      </c>
      <c r="F652" s="43">
        <f>C652-G652</f>
        <v>3654000</v>
      </c>
      <c r="G652" s="43">
        <v>187346000</v>
      </c>
      <c r="H652" s="44">
        <v>100</v>
      </c>
      <c r="I652" s="28"/>
      <c r="J652" s="29"/>
      <c r="K652" s="30"/>
      <c r="L652" s="31"/>
    </row>
    <row r="653" spans="1:12" ht="17.25" thickBot="1" x14ac:dyDescent="0.3">
      <c r="A653" s="42"/>
      <c r="B653" s="42" t="s">
        <v>710</v>
      </c>
      <c r="C653" s="43">
        <v>148631000</v>
      </c>
      <c r="D653" s="42" t="s">
        <v>89</v>
      </c>
      <c r="E653" s="43">
        <v>145177000</v>
      </c>
      <c r="F653" s="43">
        <f>C653-G653</f>
        <v>3454000</v>
      </c>
      <c r="G653" s="43">
        <f>145177000</f>
        <v>145177000</v>
      </c>
      <c r="H653" s="44">
        <v>100</v>
      </c>
      <c r="I653" s="28"/>
      <c r="J653" s="29">
        <v>6131000</v>
      </c>
      <c r="K653" s="30"/>
      <c r="L653" s="31"/>
    </row>
    <row r="654" spans="1:12" ht="17.25" thickBot="1" x14ac:dyDescent="0.3">
      <c r="A654" s="42"/>
      <c r="B654" s="42" t="s">
        <v>711</v>
      </c>
      <c r="C654" s="43">
        <v>191000000</v>
      </c>
      <c r="D654" s="42" t="s">
        <v>89</v>
      </c>
      <c r="E654" s="43">
        <v>186614000</v>
      </c>
      <c r="F654" s="43">
        <f>C654-G654</f>
        <v>4386000</v>
      </c>
      <c r="G654" s="43">
        <v>186614000</v>
      </c>
      <c r="H654" s="44">
        <v>100</v>
      </c>
      <c r="I654" s="28"/>
      <c r="J654" s="29">
        <v>55</v>
      </c>
      <c r="K654" s="30"/>
      <c r="L654" s="31"/>
    </row>
    <row r="655" spans="1:12" ht="17.25" thickBot="1" x14ac:dyDescent="0.3">
      <c r="A655" s="42"/>
      <c r="B655" s="42" t="s">
        <v>712</v>
      </c>
      <c r="C655" s="43">
        <v>191000000</v>
      </c>
      <c r="D655" s="42" t="s">
        <v>89</v>
      </c>
      <c r="E655" s="43">
        <v>187475000</v>
      </c>
      <c r="F655" s="43">
        <f>C655-G655</f>
        <v>3525000</v>
      </c>
      <c r="G655" s="43">
        <v>187475000</v>
      </c>
      <c r="H655" s="44">
        <v>100</v>
      </c>
      <c r="I655" s="28"/>
      <c r="J655" s="29">
        <v>56</v>
      </c>
      <c r="K655" s="30"/>
      <c r="L655" s="31"/>
    </row>
    <row r="656" spans="1:12" ht="17.25" thickBot="1" x14ac:dyDescent="0.3">
      <c r="A656" s="42"/>
      <c r="B656" s="42" t="s">
        <v>713</v>
      </c>
      <c r="C656" s="43">
        <v>191000000</v>
      </c>
      <c r="D656" s="42" t="s">
        <v>89</v>
      </c>
      <c r="E656" s="43">
        <v>188533000</v>
      </c>
      <c r="F656" s="43">
        <f>C656-G656</f>
        <v>2467000</v>
      </c>
      <c r="G656" s="43">
        <v>188533000</v>
      </c>
      <c r="H656" s="44">
        <v>100</v>
      </c>
      <c r="I656" s="28"/>
      <c r="J656" s="29">
        <v>57</v>
      </c>
      <c r="K656" s="30"/>
      <c r="L656" s="31"/>
    </row>
    <row r="657" spans="1:12" ht="17.25" thickBot="1" x14ac:dyDescent="0.3">
      <c r="A657" s="42"/>
      <c r="B657" s="42" t="s">
        <v>714</v>
      </c>
      <c r="C657" s="43">
        <v>191000000</v>
      </c>
      <c r="D657" s="42" t="s">
        <v>89</v>
      </c>
      <c r="E657" s="43">
        <v>188204000</v>
      </c>
      <c r="F657" s="43">
        <f>C657-G657</f>
        <v>2796000</v>
      </c>
      <c r="G657" s="43">
        <f>188204000</f>
        <v>188204000</v>
      </c>
      <c r="H657" s="44">
        <v>100</v>
      </c>
      <c r="I657" s="28"/>
      <c r="J657" s="29">
        <v>6134000</v>
      </c>
      <c r="K657" s="30"/>
      <c r="L657" s="31"/>
    </row>
    <row r="658" spans="1:12" ht="17.25" thickBot="1" x14ac:dyDescent="0.3">
      <c r="A658" s="42"/>
      <c r="B658" s="42" t="s">
        <v>715</v>
      </c>
      <c r="C658" s="43">
        <v>191000000</v>
      </c>
      <c r="D658" s="42" t="s">
        <v>89</v>
      </c>
      <c r="E658" s="43">
        <v>187327000</v>
      </c>
      <c r="F658" s="43">
        <f>C658-G658</f>
        <v>3673000</v>
      </c>
      <c r="G658" s="43">
        <f>187327000</f>
        <v>187327000</v>
      </c>
      <c r="H658" s="44">
        <v>100</v>
      </c>
      <c r="I658" s="28"/>
      <c r="J658" s="29">
        <v>5646000</v>
      </c>
      <c r="K658" s="30"/>
      <c r="L658" s="31"/>
    </row>
    <row r="659" spans="1:12" ht="27.75" thickBot="1" x14ac:dyDescent="0.3">
      <c r="A659" s="42"/>
      <c r="B659" s="42" t="s">
        <v>716</v>
      </c>
      <c r="C659" s="43">
        <v>98631000</v>
      </c>
      <c r="D659" s="42" t="s">
        <v>89</v>
      </c>
      <c r="E659" s="43">
        <v>96566000</v>
      </c>
      <c r="F659" s="43">
        <f>C659-G659</f>
        <v>2065000</v>
      </c>
      <c r="G659" s="43">
        <v>96566000</v>
      </c>
      <c r="H659" s="44">
        <v>100</v>
      </c>
      <c r="I659" s="28"/>
      <c r="J659" s="29">
        <v>59</v>
      </c>
      <c r="K659" s="30"/>
      <c r="L659" s="31"/>
    </row>
    <row r="660" spans="1:12" ht="17.25" thickBot="1" x14ac:dyDescent="0.3">
      <c r="A660" s="42"/>
      <c r="B660" s="42" t="s">
        <v>717</v>
      </c>
      <c r="C660" s="43">
        <v>191000000</v>
      </c>
      <c r="D660" s="42" t="s">
        <v>89</v>
      </c>
      <c r="E660" s="43">
        <v>188410000</v>
      </c>
      <c r="F660" s="43">
        <f>C660-G660</f>
        <v>2590000</v>
      </c>
      <c r="G660" s="43">
        <v>188410000</v>
      </c>
      <c r="H660" s="44">
        <v>100</v>
      </c>
      <c r="I660" s="28"/>
      <c r="J660" s="29">
        <v>60</v>
      </c>
      <c r="K660" s="30"/>
      <c r="L660" s="31"/>
    </row>
    <row r="661" spans="1:12" ht="17.25" thickBot="1" x14ac:dyDescent="0.3">
      <c r="A661" s="42"/>
      <c r="B661" s="42" t="s">
        <v>718</v>
      </c>
      <c r="C661" s="43">
        <v>197000000</v>
      </c>
      <c r="D661" s="42" t="s">
        <v>89</v>
      </c>
      <c r="E661" s="43">
        <v>193858000</v>
      </c>
      <c r="F661" s="43">
        <f>C661-G661</f>
        <v>3142000</v>
      </c>
      <c r="G661" s="43">
        <v>193858000</v>
      </c>
      <c r="H661" s="44">
        <v>100</v>
      </c>
      <c r="I661" s="28"/>
      <c r="J661" s="29">
        <v>61</v>
      </c>
      <c r="K661" s="30"/>
      <c r="L661" s="31"/>
    </row>
    <row r="662" spans="1:12" ht="17.25" thickBot="1" x14ac:dyDescent="0.3">
      <c r="A662" s="42"/>
      <c r="B662" s="42" t="s">
        <v>719</v>
      </c>
      <c r="C662" s="43">
        <v>100000000</v>
      </c>
      <c r="D662" s="42" t="s">
        <v>89</v>
      </c>
      <c r="E662" s="43">
        <v>97725000</v>
      </c>
      <c r="F662" s="43">
        <f>C662-G662</f>
        <v>2275000</v>
      </c>
      <c r="G662" s="43">
        <v>97725000</v>
      </c>
      <c r="H662" s="44">
        <v>100</v>
      </c>
      <c r="I662" s="28"/>
      <c r="J662" s="29">
        <v>62</v>
      </c>
      <c r="K662" s="30"/>
      <c r="L662" s="31"/>
    </row>
    <row r="663" spans="1:12" ht="17.25" thickBot="1" x14ac:dyDescent="0.3">
      <c r="A663" s="42"/>
      <c r="B663" s="42" t="s">
        <v>720</v>
      </c>
      <c r="C663" s="43">
        <v>20000000</v>
      </c>
      <c r="D663" s="42" t="s">
        <v>194</v>
      </c>
      <c r="E663" s="43">
        <v>19502000</v>
      </c>
      <c r="F663" s="43">
        <f>C663-G663</f>
        <v>498000</v>
      </c>
      <c r="G663" s="43">
        <v>19502000</v>
      </c>
      <c r="H663" s="44">
        <v>100</v>
      </c>
      <c r="I663" s="28"/>
      <c r="J663" s="29">
        <v>63</v>
      </c>
      <c r="K663" s="30"/>
      <c r="L663" s="31"/>
    </row>
    <row r="664" spans="1:12" ht="17.25" thickBot="1" x14ac:dyDescent="0.3">
      <c r="A664" s="42"/>
      <c r="B664" s="42" t="s">
        <v>721</v>
      </c>
      <c r="C664" s="43">
        <v>25000000</v>
      </c>
      <c r="D664" s="42" t="s">
        <v>194</v>
      </c>
      <c r="E664" s="43">
        <v>24497000</v>
      </c>
      <c r="F664" s="43">
        <f>C664-G664</f>
        <v>503000</v>
      </c>
      <c r="G664" s="43">
        <v>24497000</v>
      </c>
      <c r="H664" s="44">
        <v>100</v>
      </c>
      <c r="I664" s="28"/>
      <c r="J664" s="29"/>
      <c r="K664" s="30"/>
      <c r="L664" s="31"/>
    </row>
    <row r="665" spans="1:12" ht="17.25" thickBot="1" x14ac:dyDescent="0.3">
      <c r="A665" s="42"/>
      <c r="B665" s="42" t="s">
        <v>722</v>
      </c>
      <c r="C665" s="43">
        <v>915000000</v>
      </c>
      <c r="D665" s="42" t="s">
        <v>89</v>
      </c>
      <c r="E665" s="43">
        <v>893097700</v>
      </c>
      <c r="F665" s="43">
        <f>C665-G665</f>
        <v>21902300</v>
      </c>
      <c r="G665" s="43">
        <v>893097700</v>
      </c>
      <c r="H665" s="44">
        <v>100</v>
      </c>
      <c r="I665" s="28"/>
      <c r="J665" s="29"/>
      <c r="K665" s="30"/>
      <c r="L665" s="31"/>
    </row>
    <row r="666" spans="1:12" ht="17.25" thickBot="1" x14ac:dyDescent="0.3">
      <c r="A666" s="42"/>
      <c r="B666" s="42" t="s">
        <v>723</v>
      </c>
      <c r="C666" s="43">
        <v>197000000</v>
      </c>
      <c r="D666" s="42" t="s">
        <v>89</v>
      </c>
      <c r="E666" s="43">
        <v>193653000</v>
      </c>
      <c r="F666" s="43">
        <f>C666-G666</f>
        <v>3347000</v>
      </c>
      <c r="G666" s="43">
        <v>193653000</v>
      </c>
      <c r="H666" s="44">
        <v>100</v>
      </c>
      <c r="I666" s="28"/>
      <c r="J666" s="29">
        <v>64</v>
      </c>
      <c r="K666" s="30"/>
      <c r="L666" s="31"/>
    </row>
    <row r="667" spans="1:12" ht="17.25" thickBot="1" x14ac:dyDescent="0.3">
      <c r="A667" s="42"/>
      <c r="B667" s="42" t="s">
        <v>724</v>
      </c>
      <c r="C667" s="43">
        <v>197000000</v>
      </c>
      <c r="D667" s="42" t="s">
        <v>89</v>
      </c>
      <c r="E667" s="43">
        <v>193852000</v>
      </c>
      <c r="F667" s="43">
        <f>C667-G667</f>
        <v>3148000</v>
      </c>
      <c r="G667" s="43">
        <f>193852000</f>
        <v>193852000</v>
      </c>
      <c r="H667" s="44">
        <v>100</v>
      </c>
      <c r="I667" s="28"/>
      <c r="J667" s="29">
        <v>2901000</v>
      </c>
      <c r="K667" s="30"/>
      <c r="L667" s="31"/>
    </row>
    <row r="668" spans="1:12" ht="17.25" thickBot="1" x14ac:dyDescent="0.3">
      <c r="A668" s="42"/>
      <c r="B668" s="42" t="s">
        <v>725</v>
      </c>
      <c r="C668" s="43">
        <v>121951000</v>
      </c>
      <c r="D668" s="42" t="s">
        <v>89</v>
      </c>
      <c r="E668" s="43">
        <v>120639400</v>
      </c>
      <c r="F668" s="43">
        <f>C668-G668</f>
        <v>1311600</v>
      </c>
      <c r="G668" s="43">
        <v>120639400</v>
      </c>
      <c r="H668" s="44">
        <v>100</v>
      </c>
      <c r="I668" s="28"/>
      <c r="J668" s="29"/>
      <c r="K668" s="30"/>
      <c r="L668" s="31"/>
    </row>
    <row r="669" spans="1:12" ht="17.25" thickBot="1" x14ac:dyDescent="0.3">
      <c r="A669" s="42"/>
      <c r="B669" s="42" t="s">
        <v>726</v>
      </c>
      <c r="C669" s="43">
        <v>191000000</v>
      </c>
      <c r="D669" s="42" t="s">
        <v>89</v>
      </c>
      <c r="E669" s="43">
        <v>188068000</v>
      </c>
      <c r="F669" s="43">
        <f>C669-G669</f>
        <v>2932000</v>
      </c>
      <c r="G669" s="43">
        <f>188068000</f>
        <v>188068000</v>
      </c>
      <c r="H669" s="44">
        <v>100</v>
      </c>
      <c r="I669" s="28"/>
      <c r="J669" s="29">
        <v>7638000</v>
      </c>
      <c r="K669" s="30"/>
      <c r="L669" s="31"/>
    </row>
    <row r="670" spans="1:12" ht="17.25" thickBot="1" x14ac:dyDescent="0.3">
      <c r="A670" s="42"/>
      <c r="B670" s="42" t="s">
        <v>727</v>
      </c>
      <c r="C670" s="43">
        <v>98631000</v>
      </c>
      <c r="D670" s="42" t="s">
        <v>89</v>
      </c>
      <c r="E670" s="43">
        <v>97061000</v>
      </c>
      <c r="F670" s="43">
        <f>C670-G670</f>
        <v>1570000</v>
      </c>
      <c r="G670" s="43">
        <v>97061000</v>
      </c>
      <c r="H670" s="44">
        <v>100</v>
      </c>
      <c r="I670" s="28"/>
      <c r="J670" s="29">
        <v>66</v>
      </c>
      <c r="K670" s="30"/>
      <c r="L670" s="31"/>
    </row>
    <row r="671" spans="1:12" ht="17.25" thickBot="1" x14ac:dyDescent="0.3">
      <c r="A671" s="42"/>
      <c r="B671" s="42" t="s">
        <v>728</v>
      </c>
      <c r="C671" s="43">
        <v>191000000</v>
      </c>
      <c r="D671" s="42" t="s">
        <v>89</v>
      </c>
      <c r="E671" s="43">
        <v>188325000</v>
      </c>
      <c r="F671" s="43">
        <f>C671-G671</f>
        <v>2675000</v>
      </c>
      <c r="G671" s="43">
        <f>188325000</f>
        <v>188325000</v>
      </c>
      <c r="H671" s="44">
        <v>100</v>
      </c>
      <c r="I671" s="28"/>
      <c r="J671" s="29">
        <v>5773000</v>
      </c>
      <c r="K671" s="30"/>
      <c r="L671" s="31"/>
    </row>
    <row r="672" spans="1:12" ht="17.25" thickBot="1" x14ac:dyDescent="0.3">
      <c r="A672" s="42"/>
      <c r="B672" s="42" t="s">
        <v>729</v>
      </c>
      <c r="C672" s="43">
        <v>191000000</v>
      </c>
      <c r="D672" s="42" t="s">
        <v>89</v>
      </c>
      <c r="E672" s="43">
        <v>188319000</v>
      </c>
      <c r="F672" s="43">
        <f>C672-G672</f>
        <v>2681000</v>
      </c>
      <c r="G672" s="43">
        <v>188319000</v>
      </c>
      <c r="H672" s="44">
        <v>100</v>
      </c>
      <c r="I672" s="28"/>
      <c r="J672" s="29">
        <v>67</v>
      </c>
      <c r="K672" s="30"/>
      <c r="L672" s="31"/>
    </row>
    <row r="673" spans="1:12" ht="17.25" thickBot="1" x14ac:dyDescent="0.3">
      <c r="A673" s="42"/>
      <c r="B673" s="42" t="s">
        <v>730</v>
      </c>
      <c r="C673" s="43">
        <v>148631000</v>
      </c>
      <c r="D673" s="42" t="s">
        <v>89</v>
      </c>
      <c r="E673" s="43">
        <v>146234000</v>
      </c>
      <c r="F673" s="43">
        <f>C673-G673</f>
        <v>2397000</v>
      </c>
      <c r="G673" s="43">
        <v>146234000</v>
      </c>
      <c r="H673" s="44">
        <v>100</v>
      </c>
      <c r="I673" s="28"/>
      <c r="J673" s="29"/>
      <c r="K673" s="30"/>
      <c r="L673" s="31"/>
    </row>
    <row r="674" spans="1:12" ht="17.25" thickBot="1" x14ac:dyDescent="0.3">
      <c r="A674" s="42"/>
      <c r="B674" s="42" t="s">
        <v>731</v>
      </c>
      <c r="C674" s="43">
        <v>98631000</v>
      </c>
      <c r="D674" s="42" t="s">
        <v>89</v>
      </c>
      <c r="E674" s="43">
        <v>96564000</v>
      </c>
      <c r="F674" s="43">
        <f>C674-G674</f>
        <v>2067000</v>
      </c>
      <c r="G674" s="43">
        <v>96564000</v>
      </c>
      <c r="H674" s="44">
        <v>100</v>
      </c>
      <c r="I674" s="28"/>
      <c r="J674" s="29">
        <v>68</v>
      </c>
      <c r="K674" s="30"/>
      <c r="L674" s="31"/>
    </row>
    <row r="675" spans="1:12" ht="17.25" thickBot="1" x14ac:dyDescent="0.3">
      <c r="A675" s="42"/>
      <c r="B675" s="42" t="s">
        <v>732</v>
      </c>
      <c r="C675" s="43">
        <v>191000000</v>
      </c>
      <c r="D675" s="42" t="s">
        <v>89</v>
      </c>
      <c r="E675" s="43">
        <v>187457000</v>
      </c>
      <c r="F675" s="43">
        <f>C675-G675</f>
        <v>3543000</v>
      </c>
      <c r="G675" s="43">
        <v>187457000</v>
      </c>
      <c r="H675" s="44">
        <v>100</v>
      </c>
      <c r="I675" s="28"/>
      <c r="J675" s="29">
        <v>69</v>
      </c>
      <c r="K675" s="30"/>
      <c r="L675" s="31"/>
    </row>
    <row r="676" spans="1:12" ht="17.25" thickBot="1" x14ac:dyDescent="0.3">
      <c r="A676" s="42"/>
      <c r="B676" s="42" t="s">
        <v>733</v>
      </c>
      <c r="C676" s="43">
        <v>191000000</v>
      </c>
      <c r="D676" s="42" t="s">
        <v>89</v>
      </c>
      <c r="E676" s="43">
        <v>187821000</v>
      </c>
      <c r="F676" s="43">
        <f>C676-G676</f>
        <v>3179000</v>
      </c>
      <c r="G676" s="43">
        <v>187821000</v>
      </c>
      <c r="H676" s="44">
        <v>100</v>
      </c>
      <c r="I676" s="28"/>
      <c r="J676" s="29">
        <v>70</v>
      </c>
      <c r="K676" s="30"/>
      <c r="L676" s="31"/>
    </row>
    <row r="677" spans="1:12" ht="17.25" thickBot="1" x14ac:dyDescent="0.3">
      <c r="A677" s="42"/>
      <c r="B677" s="42" t="s">
        <v>734</v>
      </c>
      <c r="C677" s="43">
        <v>191000000</v>
      </c>
      <c r="D677" s="42" t="s">
        <v>89</v>
      </c>
      <c r="E677" s="43">
        <v>187805000</v>
      </c>
      <c r="F677" s="43">
        <f>C677-G677</f>
        <v>3195000</v>
      </c>
      <c r="G677" s="43">
        <v>187805000</v>
      </c>
      <c r="H677" s="44">
        <v>100</v>
      </c>
      <c r="I677" s="28"/>
      <c r="J677" s="29">
        <v>71</v>
      </c>
      <c r="K677" s="30"/>
      <c r="L677" s="31"/>
    </row>
    <row r="678" spans="1:12" ht="17.25" thickBot="1" x14ac:dyDescent="0.3">
      <c r="A678" s="42"/>
      <c r="B678" s="42" t="s">
        <v>735</v>
      </c>
      <c r="C678" s="43">
        <v>191000000</v>
      </c>
      <c r="D678" s="42" t="s">
        <v>89</v>
      </c>
      <c r="E678" s="43">
        <v>186867000</v>
      </c>
      <c r="F678" s="43">
        <f>C678-G678</f>
        <v>4133000</v>
      </c>
      <c r="G678" s="43">
        <f>186867000</f>
        <v>186867000</v>
      </c>
      <c r="H678" s="44">
        <v>100</v>
      </c>
      <c r="I678" s="28"/>
      <c r="J678" s="29">
        <v>6566000</v>
      </c>
      <c r="K678" s="30"/>
      <c r="L678" s="31"/>
    </row>
    <row r="679" spans="1:12" ht="17.25" thickBot="1" x14ac:dyDescent="0.3">
      <c r="A679" s="42"/>
      <c r="B679" s="42" t="s">
        <v>736</v>
      </c>
      <c r="C679" s="43">
        <v>191000000</v>
      </c>
      <c r="D679" s="42" t="s">
        <v>89</v>
      </c>
      <c r="E679" s="43">
        <v>187158000</v>
      </c>
      <c r="F679" s="43">
        <f>C679-G679</f>
        <v>3842000</v>
      </c>
      <c r="G679" s="43">
        <v>187158000</v>
      </c>
      <c r="H679" s="44">
        <v>100</v>
      </c>
      <c r="I679" s="28"/>
      <c r="J679" s="29">
        <v>73</v>
      </c>
      <c r="K679" s="30"/>
      <c r="L679" s="31"/>
    </row>
    <row r="680" spans="1:12" ht="17.25" thickBot="1" x14ac:dyDescent="0.3">
      <c r="A680" s="42"/>
      <c r="B680" s="42" t="s">
        <v>737</v>
      </c>
      <c r="C680" s="43">
        <v>190000000</v>
      </c>
      <c r="D680" s="42" t="s">
        <v>89</v>
      </c>
      <c r="E680" s="43">
        <v>187126000</v>
      </c>
      <c r="F680" s="43">
        <f>C680-G680</f>
        <v>2874000</v>
      </c>
      <c r="G680" s="43">
        <v>187126000</v>
      </c>
      <c r="H680" s="44">
        <v>100</v>
      </c>
      <c r="I680" s="28"/>
      <c r="J680" s="29"/>
      <c r="K680" s="30"/>
      <c r="L680" s="31"/>
    </row>
    <row r="681" spans="1:12" ht="17.25" thickBot="1" x14ac:dyDescent="0.3">
      <c r="A681" s="42"/>
      <c r="B681" s="42" t="s">
        <v>738</v>
      </c>
      <c r="C681" s="43">
        <v>98631000</v>
      </c>
      <c r="D681" s="42" t="s">
        <v>89</v>
      </c>
      <c r="E681" s="43">
        <v>96946000</v>
      </c>
      <c r="F681" s="43">
        <f>C681-G681</f>
        <v>1685000</v>
      </c>
      <c r="G681" s="43">
        <v>96946000</v>
      </c>
      <c r="H681" s="44">
        <v>100</v>
      </c>
      <c r="I681" s="28"/>
      <c r="J681" s="29">
        <v>74</v>
      </c>
      <c r="K681" s="30"/>
      <c r="L681" s="31"/>
    </row>
    <row r="682" spans="1:12" ht="17.25" thickBot="1" x14ac:dyDescent="0.3">
      <c r="A682" s="42"/>
      <c r="B682" s="42" t="s">
        <v>739</v>
      </c>
      <c r="C682" s="43">
        <v>193045500</v>
      </c>
      <c r="D682" s="42" t="s">
        <v>89</v>
      </c>
      <c r="E682" s="43">
        <v>190842000</v>
      </c>
      <c r="F682" s="43">
        <f>C682-G682</f>
        <v>2203500</v>
      </c>
      <c r="G682" s="43">
        <v>190842000</v>
      </c>
      <c r="H682" s="44">
        <v>100</v>
      </c>
      <c r="I682" s="28"/>
      <c r="J682" s="29"/>
      <c r="K682" s="30"/>
      <c r="L682" s="31"/>
    </row>
    <row r="683" spans="1:12" ht="17.25" thickBot="1" x14ac:dyDescent="0.3">
      <c r="A683" s="42"/>
      <c r="B683" s="42" t="s">
        <v>740</v>
      </c>
      <c r="C683" s="43">
        <v>150000000</v>
      </c>
      <c r="D683" s="42" t="s">
        <v>89</v>
      </c>
      <c r="E683" s="43">
        <v>150000000</v>
      </c>
      <c r="F683" s="43">
        <f>C683-G683</f>
        <v>2052000</v>
      </c>
      <c r="G683" s="43">
        <f>147948000</f>
        <v>147948000</v>
      </c>
      <c r="H683" s="44">
        <v>100</v>
      </c>
      <c r="I683" s="28"/>
      <c r="J683" s="29">
        <v>5706000</v>
      </c>
      <c r="K683" s="30"/>
      <c r="L683" s="31"/>
    </row>
    <row r="684" spans="1:12" ht="17.25" thickBot="1" x14ac:dyDescent="0.3">
      <c r="A684" s="42"/>
      <c r="B684" s="42" t="s">
        <v>741</v>
      </c>
      <c r="C684" s="43">
        <v>97000000</v>
      </c>
      <c r="D684" s="42" t="s">
        <v>89</v>
      </c>
      <c r="E684" s="43">
        <v>95450000</v>
      </c>
      <c r="F684" s="43">
        <f>C684-G684</f>
        <v>1550000</v>
      </c>
      <c r="G684" s="43">
        <v>95450000</v>
      </c>
      <c r="H684" s="44">
        <v>100</v>
      </c>
      <c r="I684" s="28"/>
      <c r="J684" s="29"/>
      <c r="K684" s="30"/>
      <c r="L684" s="31"/>
    </row>
    <row r="685" spans="1:12" ht="17.25" thickBot="1" x14ac:dyDescent="0.3">
      <c r="A685" s="42"/>
      <c r="B685" s="42" t="s">
        <v>742</v>
      </c>
      <c r="C685" s="43">
        <v>35000000</v>
      </c>
      <c r="D685" s="42" t="s">
        <v>194</v>
      </c>
      <c r="E685" s="43">
        <v>31399000</v>
      </c>
      <c r="F685" s="43">
        <f>C685-G685</f>
        <v>3601000</v>
      </c>
      <c r="G685" s="43">
        <v>31399000</v>
      </c>
      <c r="H685" s="44">
        <v>100</v>
      </c>
      <c r="I685" s="28"/>
      <c r="J685" s="29">
        <v>76</v>
      </c>
      <c r="K685" s="30"/>
      <c r="L685" s="31"/>
    </row>
    <row r="686" spans="1:12" ht="17.25" thickBot="1" x14ac:dyDescent="0.3">
      <c r="A686" s="42"/>
      <c r="B686" s="42" t="s">
        <v>743</v>
      </c>
      <c r="C686" s="43">
        <v>40000000</v>
      </c>
      <c r="D686" s="42" t="s">
        <v>194</v>
      </c>
      <c r="E686" s="43">
        <v>38961000</v>
      </c>
      <c r="F686" s="43">
        <f>C686-G686</f>
        <v>1039000</v>
      </c>
      <c r="G686" s="43">
        <v>38961000</v>
      </c>
      <c r="H686" s="44">
        <v>100</v>
      </c>
      <c r="I686" s="28"/>
      <c r="J686" s="29"/>
      <c r="K686" s="30"/>
      <c r="L686" s="31"/>
    </row>
    <row r="687" spans="1:12" ht="17.25" thickBot="1" x14ac:dyDescent="0.3">
      <c r="A687" s="42"/>
      <c r="B687" s="42" t="s">
        <v>744</v>
      </c>
      <c r="C687" s="43">
        <v>290000000</v>
      </c>
      <c r="D687" s="42" t="s">
        <v>89</v>
      </c>
      <c r="E687" s="43">
        <v>285905000</v>
      </c>
      <c r="F687" s="43">
        <f>C687-G687</f>
        <v>5092000</v>
      </c>
      <c r="G687" s="43">
        <f>284908000</f>
        <v>284908000</v>
      </c>
      <c r="H687" s="44">
        <v>100</v>
      </c>
      <c r="I687" s="28"/>
      <c r="J687" s="29">
        <v>22775000</v>
      </c>
      <c r="K687" s="30"/>
      <c r="L687" s="31"/>
    </row>
    <row r="688" spans="1:12" ht="17.25" thickBot="1" x14ac:dyDescent="0.3">
      <c r="A688" s="42"/>
      <c r="B688" s="42" t="s">
        <v>745</v>
      </c>
      <c r="C688" s="43">
        <v>290000000</v>
      </c>
      <c r="D688" s="42" t="s">
        <v>89</v>
      </c>
      <c r="E688" s="43">
        <v>284954500</v>
      </c>
      <c r="F688" s="43">
        <f>C688-G688</f>
        <v>5045500</v>
      </c>
      <c r="G688" s="43">
        <f>284954500</f>
        <v>284954500</v>
      </c>
      <c r="H688" s="44">
        <v>100</v>
      </c>
      <c r="I688" s="28"/>
      <c r="J688" s="29">
        <v>17227000</v>
      </c>
      <c r="K688" s="30"/>
      <c r="L688" s="31"/>
    </row>
    <row r="689" spans="1:12" ht="17.25" thickBot="1" x14ac:dyDescent="0.3">
      <c r="A689" s="42"/>
      <c r="B689" s="42" t="s">
        <v>746</v>
      </c>
      <c r="C689" s="43">
        <v>1700000000</v>
      </c>
      <c r="D689" s="42" t="s">
        <v>89</v>
      </c>
      <c r="E689" s="43">
        <v>1679641500</v>
      </c>
      <c r="F689" s="43">
        <f>C689-G689</f>
        <v>20358500</v>
      </c>
      <c r="G689" s="43">
        <v>1679641500</v>
      </c>
      <c r="H689" s="44">
        <v>100</v>
      </c>
      <c r="I689" s="28"/>
      <c r="J689" s="29"/>
      <c r="K689" s="30"/>
      <c r="L689" s="31"/>
    </row>
    <row r="690" spans="1:12" ht="17.25" thickBot="1" x14ac:dyDescent="0.3">
      <c r="A690" s="42"/>
      <c r="B690" s="42" t="s">
        <v>747</v>
      </c>
      <c r="C690" s="43">
        <v>915000000</v>
      </c>
      <c r="D690" s="42" t="s">
        <v>89</v>
      </c>
      <c r="E690" s="43">
        <v>903031800</v>
      </c>
      <c r="F690" s="43">
        <f>C690-G690</f>
        <v>11968200</v>
      </c>
      <c r="G690" s="29">
        <f>903031800</f>
        <v>903031800</v>
      </c>
      <c r="H690" s="44">
        <v>100</v>
      </c>
      <c r="I690" s="28"/>
      <c r="J690" s="29">
        <v>4923000</v>
      </c>
      <c r="K690" s="30"/>
      <c r="L690" s="31"/>
    </row>
    <row r="691" spans="1:12" ht="17.25" thickBot="1" x14ac:dyDescent="0.3">
      <c r="A691" s="42"/>
      <c r="B691" s="42" t="s">
        <v>748</v>
      </c>
      <c r="C691" s="43">
        <v>915000000</v>
      </c>
      <c r="D691" s="42" t="s">
        <v>89</v>
      </c>
      <c r="E691" s="43">
        <v>909053000</v>
      </c>
      <c r="F691" s="43">
        <f>C691-G691</f>
        <v>5947000</v>
      </c>
      <c r="G691" s="43">
        <v>909053000</v>
      </c>
      <c r="H691" s="44">
        <v>100</v>
      </c>
      <c r="I691" s="28"/>
      <c r="J691" s="29"/>
      <c r="K691" s="30"/>
      <c r="L691" s="31"/>
    </row>
    <row r="692" spans="1:12" ht="17.25" thickBot="1" x14ac:dyDescent="0.3">
      <c r="A692" s="42"/>
      <c r="B692" s="42" t="s">
        <v>749</v>
      </c>
      <c r="C692" s="43">
        <v>148631000</v>
      </c>
      <c r="D692" s="42" t="s">
        <v>89</v>
      </c>
      <c r="E692" s="43">
        <v>146118000</v>
      </c>
      <c r="F692" s="43">
        <f>C692-G692</f>
        <v>2513000</v>
      </c>
      <c r="G692" s="43">
        <f>146118000</f>
        <v>146118000</v>
      </c>
      <c r="H692" s="44">
        <v>100</v>
      </c>
      <c r="I692" s="28"/>
      <c r="J692" s="29">
        <v>3508000</v>
      </c>
      <c r="K692" s="30"/>
      <c r="L692" s="31"/>
    </row>
    <row r="693" spans="1:12" ht="17.25" thickBot="1" x14ac:dyDescent="0.3">
      <c r="A693" s="42"/>
      <c r="B693" s="42" t="s">
        <v>750</v>
      </c>
      <c r="C693" s="43">
        <v>148631000</v>
      </c>
      <c r="D693" s="42" t="s">
        <v>89</v>
      </c>
      <c r="E693" s="43">
        <v>146083000</v>
      </c>
      <c r="F693" s="43">
        <f>C693-G693</f>
        <v>2548000</v>
      </c>
      <c r="G693" s="43">
        <v>146083000</v>
      </c>
      <c r="H693" s="44">
        <v>100</v>
      </c>
      <c r="I693" s="28"/>
      <c r="J693" s="29">
        <v>80</v>
      </c>
      <c r="K693" s="30"/>
      <c r="L693" s="31"/>
    </row>
    <row r="694" spans="1:12" ht="17.25" thickBot="1" x14ac:dyDescent="0.3">
      <c r="A694" s="42"/>
      <c r="B694" s="42" t="s">
        <v>751</v>
      </c>
      <c r="C694" s="43">
        <v>148631000</v>
      </c>
      <c r="D694" s="42" t="s">
        <v>89</v>
      </c>
      <c r="E694" s="43">
        <v>146135000</v>
      </c>
      <c r="F694" s="43">
        <f>C694-G694</f>
        <v>2496000</v>
      </c>
      <c r="G694" s="43">
        <v>146135000</v>
      </c>
      <c r="H694" s="44">
        <v>100</v>
      </c>
      <c r="I694" s="28"/>
      <c r="J694" s="29">
        <v>81</v>
      </c>
      <c r="K694" s="30"/>
      <c r="L694" s="31"/>
    </row>
    <row r="695" spans="1:12" ht="17.25" thickBot="1" x14ac:dyDescent="0.3">
      <c r="A695" s="42"/>
      <c r="B695" s="42" t="s">
        <v>752</v>
      </c>
      <c r="C695" s="43">
        <v>148631000</v>
      </c>
      <c r="D695" s="42" t="s">
        <v>89</v>
      </c>
      <c r="E695" s="43">
        <v>146072000</v>
      </c>
      <c r="F695" s="43">
        <f>C695-G695</f>
        <v>2559000</v>
      </c>
      <c r="G695" s="43">
        <v>146072000</v>
      </c>
      <c r="H695" s="44">
        <v>100</v>
      </c>
      <c r="I695" s="28"/>
      <c r="J695" s="29">
        <v>82</v>
      </c>
      <c r="K695" s="30"/>
      <c r="L695" s="31"/>
    </row>
    <row r="696" spans="1:12" ht="17.25" thickBot="1" x14ac:dyDescent="0.3">
      <c r="A696" s="42"/>
      <c r="B696" s="42" t="s">
        <v>753</v>
      </c>
      <c r="C696" s="43">
        <v>191000000</v>
      </c>
      <c r="D696" s="42" t="s">
        <v>89</v>
      </c>
      <c r="E696" s="43">
        <v>188506000</v>
      </c>
      <c r="F696" s="43">
        <f>C696-G696</f>
        <v>2494000</v>
      </c>
      <c r="G696" s="43">
        <v>188506000</v>
      </c>
      <c r="H696" s="44">
        <v>100</v>
      </c>
      <c r="I696" s="28"/>
      <c r="J696" s="29">
        <v>83</v>
      </c>
      <c r="K696" s="30"/>
      <c r="L696" s="31"/>
    </row>
    <row r="697" spans="1:12" ht="17.25" thickBot="1" x14ac:dyDescent="0.3">
      <c r="A697" s="42"/>
      <c r="B697" s="42" t="s">
        <v>754</v>
      </c>
      <c r="C697" s="43">
        <v>191000000</v>
      </c>
      <c r="D697" s="42" t="s">
        <v>89</v>
      </c>
      <c r="E697" s="43">
        <v>188341000</v>
      </c>
      <c r="F697" s="43">
        <f>C697-G697</f>
        <v>2659000</v>
      </c>
      <c r="G697" s="43">
        <v>188341000</v>
      </c>
      <c r="H697" s="44">
        <v>100</v>
      </c>
      <c r="I697" s="28"/>
      <c r="J697" s="29">
        <v>84</v>
      </c>
      <c r="K697" s="30"/>
      <c r="L697" s="31"/>
    </row>
    <row r="698" spans="1:12" ht="17.25" thickBot="1" x14ac:dyDescent="0.3">
      <c r="A698" s="42"/>
      <c r="B698" s="42" t="s">
        <v>755</v>
      </c>
      <c r="C698" s="43">
        <v>191000000</v>
      </c>
      <c r="D698" s="42" t="s">
        <v>89</v>
      </c>
      <c r="E698" s="43">
        <v>188521000</v>
      </c>
      <c r="F698" s="43">
        <f>C698-G698</f>
        <v>2479000</v>
      </c>
      <c r="G698" s="43">
        <v>188521000</v>
      </c>
      <c r="H698" s="44">
        <v>100</v>
      </c>
      <c r="I698" s="28"/>
      <c r="J698" s="29">
        <v>85</v>
      </c>
      <c r="K698" s="30"/>
      <c r="L698" s="31"/>
    </row>
    <row r="699" spans="1:12" ht="17.25" thickBot="1" x14ac:dyDescent="0.3">
      <c r="A699" s="42"/>
      <c r="B699" s="42" t="s">
        <v>756</v>
      </c>
      <c r="C699" s="43">
        <v>191000000</v>
      </c>
      <c r="D699" s="42" t="s">
        <v>89</v>
      </c>
      <c r="E699" s="43">
        <v>188081000</v>
      </c>
      <c r="F699" s="43">
        <f>C699-G699</f>
        <v>2919000</v>
      </c>
      <c r="G699" s="43">
        <f>188081000</f>
        <v>188081000</v>
      </c>
      <c r="H699" s="44">
        <v>100</v>
      </c>
      <c r="I699" s="28"/>
      <c r="J699" s="29">
        <v>6943000</v>
      </c>
      <c r="K699" s="30"/>
      <c r="L699" s="31"/>
    </row>
    <row r="700" spans="1:12" ht="17.25" thickBot="1" x14ac:dyDescent="0.3">
      <c r="A700" s="42"/>
      <c r="B700" s="42" t="s">
        <v>757</v>
      </c>
      <c r="C700" s="43">
        <v>191000000</v>
      </c>
      <c r="D700" s="42" t="s">
        <v>89</v>
      </c>
      <c r="E700" s="43">
        <v>188067000</v>
      </c>
      <c r="F700" s="43">
        <f>C700-G700</f>
        <v>2933000</v>
      </c>
      <c r="G700" s="43">
        <f>188067000</f>
        <v>188067000</v>
      </c>
      <c r="H700" s="44">
        <v>100</v>
      </c>
      <c r="I700" s="28"/>
      <c r="J700" s="29">
        <v>5605000</v>
      </c>
      <c r="K700" s="30"/>
      <c r="L700" s="31"/>
    </row>
    <row r="701" spans="1:12" ht="17.25" thickBot="1" x14ac:dyDescent="0.3">
      <c r="A701" s="42"/>
      <c r="B701" s="42" t="s">
        <v>758</v>
      </c>
      <c r="C701" s="43">
        <v>191000000</v>
      </c>
      <c r="D701" s="42" t="s">
        <v>89</v>
      </c>
      <c r="E701" s="43">
        <v>188000000</v>
      </c>
      <c r="F701" s="43">
        <f>C701-G701</f>
        <v>3000000</v>
      </c>
      <c r="G701" s="43">
        <f>188000000</f>
        <v>188000000</v>
      </c>
      <c r="H701" s="44">
        <v>100</v>
      </c>
      <c r="I701" s="28"/>
      <c r="J701" s="29">
        <v>4575000</v>
      </c>
      <c r="K701" s="30"/>
      <c r="L701" s="31"/>
    </row>
    <row r="702" spans="1:12" ht="17.25" thickBot="1" x14ac:dyDescent="0.3">
      <c r="A702" s="42"/>
      <c r="B702" s="42" t="s">
        <v>759</v>
      </c>
      <c r="C702" s="43">
        <v>191000000</v>
      </c>
      <c r="D702" s="42" t="s">
        <v>89</v>
      </c>
      <c r="E702" s="43">
        <v>188358000</v>
      </c>
      <c r="F702" s="43">
        <f>C702-G702</f>
        <v>2642000</v>
      </c>
      <c r="G702" s="43">
        <f>188358000</f>
        <v>188358000</v>
      </c>
      <c r="H702" s="44">
        <v>100</v>
      </c>
      <c r="I702" s="28"/>
      <c r="J702" s="29">
        <v>3403000</v>
      </c>
      <c r="K702" s="30"/>
      <c r="L702" s="31"/>
    </row>
    <row r="703" spans="1:12" ht="17.25" thickBot="1" x14ac:dyDescent="0.3">
      <c r="A703" s="42"/>
      <c r="B703" s="42" t="s">
        <v>760</v>
      </c>
      <c r="C703" s="43">
        <v>98631000</v>
      </c>
      <c r="D703" s="42" t="s">
        <v>89</v>
      </c>
      <c r="E703" s="43">
        <v>96795000</v>
      </c>
      <c r="F703" s="43">
        <f>C703-G703</f>
        <v>1836000</v>
      </c>
      <c r="G703" s="43">
        <f>96795000</f>
        <v>96795000</v>
      </c>
      <c r="H703" s="44">
        <v>100</v>
      </c>
      <c r="I703" s="28"/>
      <c r="J703" s="29">
        <v>1394000</v>
      </c>
      <c r="K703" s="30"/>
      <c r="L703" s="31"/>
    </row>
    <row r="704" spans="1:12" ht="17.25" thickBot="1" x14ac:dyDescent="0.3">
      <c r="A704" s="42"/>
      <c r="B704" s="42" t="s">
        <v>761</v>
      </c>
      <c r="C704" s="43">
        <v>191000000</v>
      </c>
      <c r="D704" s="42" t="s">
        <v>89</v>
      </c>
      <c r="E704" s="43">
        <v>188132000</v>
      </c>
      <c r="F704" s="43">
        <f>C704-G704</f>
        <v>2868000</v>
      </c>
      <c r="G704" s="54">
        <f>188132000</f>
        <v>188132000</v>
      </c>
      <c r="H704" s="67">
        <v>100</v>
      </c>
      <c r="I704" s="28"/>
      <c r="J704" s="29">
        <v>7632000</v>
      </c>
      <c r="K704" s="30"/>
      <c r="L704" s="31"/>
    </row>
    <row r="705" spans="1:12" ht="17.25" thickBot="1" x14ac:dyDescent="0.3">
      <c r="A705" s="42"/>
      <c r="B705" s="42" t="s">
        <v>762</v>
      </c>
      <c r="C705" s="43">
        <v>191000000</v>
      </c>
      <c r="D705" s="55" t="s">
        <v>89</v>
      </c>
      <c r="E705" s="68">
        <v>188786000</v>
      </c>
      <c r="F705" s="69">
        <f>C705-G705</f>
        <v>2214000</v>
      </c>
      <c r="G705" s="68">
        <f>188786000</f>
        <v>188786000</v>
      </c>
      <c r="H705" s="70">
        <v>100</v>
      </c>
      <c r="I705" s="28"/>
      <c r="J705" s="29">
        <v>11827000</v>
      </c>
      <c r="K705" s="30"/>
      <c r="L705" s="31"/>
    </row>
    <row r="706" spans="1:12" ht="17.25" thickBot="1" x14ac:dyDescent="0.3">
      <c r="A706" s="42"/>
      <c r="B706" s="42" t="s">
        <v>763</v>
      </c>
      <c r="C706" s="43">
        <v>191000000</v>
      </c>
      <c r="D706" s="55" t="s">
        <v>89</v>
      </c>
      <c r="E706" s="68">
        <v>188786000</v>
      </c>
      <c r="F706" s="69">
        <f>C706-G706</f>
        <v>2214000</v>
      </c>
      <c r="G706" s="68">
        <f>188786000</f>
        <v>188786000</v>
      </c>
      <c r="H706" s="70">
        <v>100</v>
      </c>
      <c r="I706" s="28"/>
      <c r="J706" s="29">
        <v>11827000</v>
      </c>
      <c r="K706" s="30"/>
      <c r="L706" s="31"/>
    </row>
    <row r="707" spans="1:12" ht="17.25" thickBot="1" x14ac:dyDescent="0.3">
      <c r="A707" s="42"/>
      <c r="B707" s="42" t="s">
        <v>764</v>
      </c>
      <c r="C707" s="43">
        <v>191000000</v>
      </c>
      <c r="D707" s="42" t="s">
        <v>89</v>
      </c>
      <c r="E707" s="43">
        <v>187857000</v>
      </c>
      <c r="F707" s="43">
        <f>C707-G707</f>
        <v>3143000</v>
      </c>
      <c r="G707" s="59">
        <v>187857000</v>
      </c>
      <c r="H707" s="71">
        <v>100</v>
      </c>
      <c r="I707" s="28"/>
      <c r="J707" s="29"/>
      <c r="K707" s="30"/>
      <c r="L707" s="31"/>
    </row>
    <row r="708" spans="1:12" ht="17.25" thickBot="1" x14ac:dyDescent="0.3">
      <c r="A708" s="42"/>
      <c r="B708" s="42" t="s">
        <v>765</v>
      </c>
      <c r="C708" s="43">
        <v>191000000</v>
      </c>
      <c r="D708" s="42" t="s">
        <v>89</v>
      </c>
      <c r="E708" s="43">
        <v>188307000</v>
      </c>
      <c r="F708" s="43">
        <f>C708-G708</f>
        <v>2693000</v>
      </c>
      <c r="G708" s="43">
        <v>188307000</v>
      </c>
      <c r="H708" s="44">
        <v>100</v>
      </c>
      <c r="I708" s="28"/>
      <c r="J708" s="29">
        <v>91</v>
      </c>
      <c r="K708" s="30"/>
      <c r="L708" s="31"/>
    </row>
    <row r="709" spans="1:12" ht="17.25" thickBot="1" x14ac:dyDescent="0.3">
      <c r="A709" s="42"/>
      <c r="B709" s="42" t="s">
        <v>766</v>
      </c>
      <c r="C709" s="43">
        <v>197000000</v>
      </c>
      <c r="D709" s="42" t="s">
        <v>89</v>
      </c>
      <c r="E709" s="43">
        <v>194084000</v>
      </c>
      <c r="F709" s="43">
        <f>C709-G709</f>
        <v>2916000</v>
      </c>
      <c r="G709" s="43">
        <f>194084000</f>
        <v>194084000</v>
      </c>
      <c r="H709" s="44">
        <v>100</v>
      </c>
      <c r="I709" s="28"/>
      <c r="J709" s="29">
        <v>5654000</v>
      </c>
      <c r="K709" s="30"/>
      <c r="L709" s="31"/>
    </row>
    <row r="710" spans="1:12" ht="17.25" thickBot="1" x14ac:dyDescent="0.3">
      <c r="A710" s="42"/>
      <c r="B710" s="42" t="s">
        <v>767</v>
      </c>
      <c r="C710" s="43">
        <v>197000000</v>
      </c>
      <c r="D710" s="42" t="s">
        <v>89</v>
      </c>
      <c r="E710" s="43">
        <v>194566000</v>
      </c>
      <c r="F710" s="43">
        <f>C710-G710</f>
        <v>2434000</v>
      </c>
      <c r="G710" s="43">
        <v>194566000</v>
      </c>
      <c r="H710" s="44">
        <v>100</v>
      </c>
      <c r="I710" s="28"/>
      <c r="J710" s="29">
        <v>93</v>
      </c>
      <c r="K710" s="30"/>
      <c r="L710" s="31"/>
    </row>
    <row r="711" spans="1:12" ht="17.25" thickBot="1" x14ac:dyDescent="0.3">
      <c r="A711" s="42"/>
      <c r="B711" s="42" t="s">
        <v>768</v>
      </c>
      <c r="C711" s="43">
        <v>197000000</v>
      </c>
      <c r="D711" s="42" t="s">
        <v>89</v>
      </c>
      <c r="E711" s="43">
        <v>192000000</v>
      </c>
      <c r="F711" s="43">
        <f>C711-G711</f>
        <v>5000000</v>
      </c>
      <c r="G711" s="43">
        <v>192000000</v>
      </c>
      <c r="H711" s="44">
        <v>100</v>
      </c>
      <c r="I711" s="28"/>
      <c r="J711" s="29">
        <v>94</v>
      </c>
      <c r="K711" s="30"/>
      <c r="L711" s="31"/>
    </row>
    <row r="712" spans="1:12" ht="27.75" thickBot="1" x14ac:dyDescent="0.3">
      <c r="A712" s="42"/>
      <c r="B712" s="42" t="s">
        <v>769</v>
      </c>
      <c r="C712" s="43">
        <v>197000000</v>
      </c>
      <c r="D712" s="42" t="s">
        <v>89</v>
      </c>
      <c r="E712" s="43">
        <v>194727000</v>
      </c>
      <c r="F712" s="43">
        <f>C712-G712</f>
        <v>2273000</v>
      </c>
      <c r="G712" s="43">
        <v>194727000</v>
      </c>
      <c r="H712" s="44">
        <v>100</v>
      </c>
      <c r="I712" s="28"/>
      <c r="J712" s="29">
        <v>95</v>
      </c>
      <c r="K712" s="30"/>
      <c r="L712" s="31"/>
    </row>
    <row r="713" spans="1:12" ht="17.25" thickBot="1" x14ac:dyDescent="0.3">
      <c r="A713" s="42"/>
      <c r="B713" s="42" t="s">
        <v>770</v>
      </c>
      <c r="C713" s="43">
        <v>197000000</v>
      </c>
      <c r="D713" s="42" t="s">
        <v>89</v>
      </c>
      <c r="E713" s="43">
        <v>193668000</v>
      </c>
      <c r="F713" s="43">
        <f>C713-G713</f>
        <v>3332000</v>
      </c>
      <c r="G713" s="43">
        <f>193668000</f>
        <v>193668000</v>
      </c>
      <c r="H713" s="44">
        <v>100</v>
      </c>
      <c r="I713" s="28"/>
      <c r="J713" s="29">
        <v>4936000</v>
      </c>
      <c r="K713" s="30"/>
      <c r="L713" s="31"/>
    </row>
    <row r="714" spans="1:12" ht="17.25" thickBot="1" x14ac:dyDescent="0.3">
      <c r="A714" s="42"/>
      <c r="B714" s="42" t="s">
        <v>771</v>
      </c>
      <c r="C714" s="43">
        <v>35000000</v>
      </c>
      <c r="D714" s="42" t="s">
        <v>194</v>
      </c>
      <c r="E714" s="43">
        <v>34010400</v>
      </c>
      <c r="F714" s="43">
        <f>C714-G714</f>
        <v>989600</v>
      </c>
      <c r="G714" s="43">
        <v>34010400</v>
      </c>
      <c r="H714" s="44">
        <v>100</v>
      </c>
      <c r="I714" s="28"/>
      <c r="J714" s="29">
        <v>97</v>
      </c>
      <c r="K714" s="30"/>
      <c r="L714" s="31"/>
    </row>
    <row r="715" spans="1:12" ht="17.25" thickBot="1" x14ac:dyDescent="0.3">
      <c r="A715" s="42"/>
      <c r="B715" s="42" t="s">
        <v>772</v>
      </c>
      <c r="C715" s="43">
        <v>40000000</v>
      </c>
      <c r="D715" s="42" t="s">
        <v>194</v>
      </c>
      <c r="E715" s="43">
        <v>38750100</v>
      </c>
      <c r="F715" s="43">
        <f>C715-G715</f>
        <v>1249900</v>
      </c>
      <c r="G715" s="43">
        <v>38750100</v>
      </c>
      <c r="H715" s="44">
        <v>100</v>
      </c>
      <c r="I715" s="28"/>
      <c r="J715" s="29">
        <v>98</v>
      </c>
      <c r="K715" s="30"/>
      <c r="L715" s="31"/>
    </row>
    <row r="716" spans="1:12" ht="17.25" thickBot="1" x14ac:dyDescent="0.3">
      <c r="A716" s="42"/>
      <c r="B716" s="42" t="s">
        <v>773</v>
      </c>
      <c r="C716" s="43">
        <v>35000000</v>
      </c>
      <c r="D716" s="42" t="s">
        <v>194</v>
      </c>
      <c r="E716" s="43">
        <v>28421000</v>
      </c>
      <c r="F716" s="43">
        <f>C716-G716</f>
        <v>6579000</v>
      </c>
      <c r="G716" s="43">
        <v>28421000</v>
      </c>
      <c r="H716" s="44">
        <v>100</v>
      </c>
      <c r="I716" s="28"/>
      <c r="J716" s="29">
        <v>99</v>
      </c>
      <c r="K716" s="30"/>
      <c r="L716" s="31"/>
    </row>
    <row r="717" spans="1:12" ht="17.25" thickBot="1" x14ac:dyDescent="0.3">
      <c r="A717" s="42"/>
      <c r="B717" s="42" t="s">
        <v>774</v>
      </c>
      <c r="C717" s="43">
        <v>40000000</v>
      </c>
      <c r="D717" s="42" t="s">
        <v>194</v>
      </c>
      <c r="E717" s="72">
        <v>38961000</v>
      </c>
      <c r="F717" s="43">
        <f>C717-G717</f>
        <v>1039000</v>
      </c>
      <c r="G717" s="72">
        <v>38961000</v>
      </c>
      <c r="H717" s="44">
        <v>100</v>
      </c>
      <c r="I717" s="28"/>
      <c r="J717" s="29"/>
      <c r="K717" s="30"/>
      <c r="L717" s="31"/>
    </row>
    <row r="718" spans="1:12" ht="17.25" thickBot="1" x14ac:dyDescent="0.3">
      <c r="A718" s="42"/>
      <c r="B718" s="42" t="s">
        <v>775</v>
      </c>
      <c r="C718" s="43">
        <v>45000000</v>
      </c>
      <c r="D718" s="42" t="s">
        <v>194</v>
      </c>
      <c r="E718" s="43">
        <v>43854000</v>
      </c>
      <c r="F718" s="43">
        <f>C718-G718</f>
        <v>1146000</v>
      </c>
      <c r="G718" s="43">
        <v>43854000</v>
      </c>
      <c r="H718" s="44">
        <v>100</v>
      </c>
      <c r="I718" s="28"/>
      <c r="J718" s="29"/>
      <c r="K718" s="30"/>
      <c r="L718" s="31"/>
    </row>
    <row r="719" spans="1:12" ht="17.25" thickBot="1" x14ac:dyDescent="0.3">
      <c r="A719" s="42"/>
      <c r="B719" s="42" t="s">
        <v>776</v>
      </c>
      <c r="C719" s="43">
        <v>40000000</v>
      </c>
      <c r="D719" s="42" t="s">
        <v>194</v>
      </c>
      <c r="E719" s="43">
        <v>38628000</v>
      </c>
      <c r="F719" s="43">
        <f>C719-G719</f>
        <v>1372000</v>
      </c>
      <c r="G719" s="43">
        <v>38628000</v>
      </c>
      <c r="H719" s="44">
        <v>100</v>
      </c>
      <c r="I719" s="28"/>
      <c r="J719" s="29"/>
      <c r="K719" s="30"/>
      <c r="L719" s="31"/>
    </row>
    <row r="720" spans="1:12" ht="17.25" thickBot="1" x14ac:dyDescent="0.3">
      <c r="A720" s="42"/>
      <c r="B720" s="42" t="s">
        <v>777</v>
      </c>
      <c r="C720" s="43">
        <v>6746689000</v>
      </c>
      <c r="D720" s="42" t="s">
        <v>89</v>
      </c>
      <c r="E720" s="43">
        <v>6716832318</v>
      </c>
      <c r="F720" s="43">
        <f>C720-G720</f>
        <v>29856682</v>
      </c>
      <c r="G720" s="43">
        <f>6716832318</f>
        <v>6716832318</v>
      </c>
      <c r="H720" s="44">
        <v>100</v>
      </c>
      <c r="I720" s="28"/>
      <c r="J720" s="29">
        <v>47974000</v>
      </c>
      <c r="K720" s="30"/>
      <c r="L720" s="31"/>
    </row>
    <row r="721" spans="1:12" ht="17.25" thickBot="1" x14ac:dyDescent="0.3">
      <c r="A721" s="42"/>
      <c r="B721" s="42" t="s">
        <v>778</v>
      </c>
      <c r="C721" s="43">
        <v>480000000</v>
      </c>
      <c r="D721" s="42" t="s">
        <v>89</v>
      </c>
      <c r="E721" s="43">
        <v>477145000</v>
      </c>
      <c r="F721" s="43">
        <f>C721-G721</f>
        <v>2855000</v>
      </c>
      <c r="G721" s="43">
        <f>477145000</f>
        <v>477145000</v>
      </c>
      <c r="H721" s="44">
        <v>100</v>
      </c>
      <c r="I721" s="28"/>
      <c r="J721" s="29">
        <v>42466000</v>
      </c>
      <c r="K721" s="30"/>
      <c r="L721" s="31"/>
    </row>
    <row r="722" spans="1:12" ht="17.25" thickBot="1" x14ac:dyDescent="0.3">
      <c r="A722" s="42"/>
      <c r="B722" s="42" t="s">
        <v>779</v>
      </c>
      <c r="C722" s="43">
        <v>198631000</v>
      </c>
      <c r="D722" s="42" t="s">
        <v>89</v>
      </c>
      <c r="E722" s="43">
        <v>195788000</v>
      </c>
      <c r="F722" s="43">
        <f>C722-G722</f>
        <v>2843000</v>
      </c>
      <c r="G722" s="43">
        <f>195788000</f>
        <v>195788000</v>
      </c>
      <c r="H722" s="44">
        <v>100</v>
      </c>
      <c r="I722" s="28"/>
      <c r="J722" s="29">
        <v>4359000</v>
      </c>
      <c r="K722" s="30"/>
      <c r="L722" s="31"/>
    </row>
    <row r="723" spans="1:12" ht="17.25" thickBot="1" x14ac:dyDescent="0.3">
      <c r="A723" s="42"/>
      <c r="B723" s="42" t="s">
        <v>780</v>
      </c>
      <c r="C723" s="43">
        <v>198631000</v>
      </c>
      <c r="D723" s="42" t="s">
        <v>89</v>
      </c>
      <c r="E723" s="43">
        <v>195986000</v>
      </c>
      <c r="F723" s="43">
        <f>C723-G723</f>
        <v>2645000</v>
      </c>
      <c r="G723" s="43">
        <v>195986000</v>
      </c>
      <c r="H723" s="44">
        <v>100</v>
      </c>
      <c r="I723" s="28"/>
      <c r="J723" s="29">
        <v>101</v>
      </c>
      <c r="K723" s="30"/>
      <c r="L723" s="31"/>
    </row>
    <row r="724" spans="1:12" ht="17.25" thickBot="1" x14ac:dyDescent="0.3">
      <c r="A724" s="42"/>
      <c r="B724" s="42" t="s">
        <v>781</v>
      </c>
      <c r="C724" s="43">
        <v>198631000</v>
      </c>
      <c r="D724" s="42" t="s">
        <v>89</v>
      </c>
      <c r="E724" s="43">
        <v>195448800</v>
      </c>
      <c r="F724" s="43">
        <f>C724-G724</f>
        <v>3182200</v>
      </c>
      <c r="G724" s="43">
        <f>195448800</f>
        <v>195448800</v>
      </c>
      <c r="H724" s="44">
        <v>100</v>
      </c>
      <c r="I724" s="28"/>
      <c r="J724" s="29">
        <v>49312000</v>
      </c>
      <c r="K724" s="30"/>
      <c r="L724" s="31"/>
    </row>
    <row r="725" spans="1:12" ht="17.25" thickBot="1" x14ac:dyDescent="0.3">
      <c r="A725" s="42"/>
      <c r="B725" s="42" t="s">
        <v>782</v>
      </c>
      <c r="C725" s="43">
        <v>191000000</v>
      </c>
      <c r="D725" s="42" t="s">
        <v>89</v>
      </c>
      <c r="E725" s="43">
        <v>188167000</v>
      </c>
      <c r="F725" s="43">
        <f>C725-G725</f>
        <v>2833000</v>
      </c>
      <c r="G725" s="43">
        <f>188167000</f>
        <v>188167000</v>
      </c>
      <c r="H725" s="44">
        <v>100</v>
      </c>
      <c r="I725" s="28"/>
      <c r="J725" s="29">
        <v>7251000</v>
      </c>
      <c r="K725" s="30"/>
      <c r="L725" s="31"/>
    </row>
    <row r="726" spans="1:12" ht="17.25" thickBot="1" x14ac:dyDescent="0.3">
      <c r="A726" s="42"/>
      <c r="B726" s="42" t="s">
        <v>783</v>
      </c>
      <c r="C726" s="43">
        <v>98631000</v>
      </c>
      <c r="D726" s="42" t="s">
        <v>89</v>
      </c>
      <c r="E726" s="43">
        <v>96430000</v>
      </c>
      <c r="F726" s="43">
        <f>C726-G726</f>
        <v>2201000</v>
      </c>
      <c r="G726" s="43">
        <v>96430000</v>
      </c>
      <c r="H726" s="44">
        <v>100</v>
      </c>
      <c r="I726" s="28"/>
      <c r="J726" s="29">
        <v>102</v>
      </c>
      <c r="K726" s="30"/>
      <c r="L726" s="31"/>
    </row>
    <row r="727" spans="1:12" ht="17.25" thickBot="1" x14ac:dyDescent="0.3">
      <c r="A727" s="42"/>
      <c r="B727" s="42" t="s">
        <v>784</v>
      </c>
      <c r="C727" s="43">
        <v>98631000</v>
      </c>
      <c r="D727" s="42" t="s">
        <v>89</v>
      </c>
      <c r="E727" s="43">
        <v>95783000</v>
      </c>
      <c r="F727" s="43">
        <f>C727-G727</f>
        <v>2848000</v>
      </c>
      <c r="G727" s="43">
        <v>95783000</v>
      </c>
      <c r="H727" s="44">
        <v>100</v>
      </c>
      <c r="I727" s="28"/>
      <c r="J727" s="29"/>
      <c r="K727" s="30"/>
      <c r="L727" s="31"/>
    </row>
    <row r="728" spans="1:12" ht="17.25" thickBot="1" x14ac:dyDescent="0.3">
      <c r="A728" s="42"/>
      <c r="B728" s="42" t="s">
        <v>785</v>
      </c>
      <c r="C728" s="43">
        <v>200000000</v>
      </c>
      <c r="D728" s="42" t="s">
        <v>89</v>
      </c>
      <c r="E728" s="43">
        <v>195759000</v>
      </c>
      <c r="F728" s="43">
        <f>C728-G728</f>
        <v>4241000</v>
      </c>
      <c r="G728" s="43">
        <f>195759000</f>
        <v>195759000</v>
      </c>
      <c r="H728" s="44">
        <v>100</v>
      </c>
      <c r="I728" s="28"/>
      <c r="J728" s="29">
        <v>9506000</v>
      </c>
      <c r="K728" s="30"/>
      <c r="L728" s="31"/>
    </row>
    <row r="729" spans="1:12" ht="17.25" thickBot="1" x14ac:dyDescent="0.3">
      <c r="A729" s="42"/>
      <c r="B729" s="42" t="s">
        <v>786</v>
      </c>
      <c r="C729" s="43">
        <v>197000000</v>
      </c>
      <c r="D729" s="42" t="s">
        <v>89</v>
      </c>
      <c r="E729" s="43">
        <v>194223000</v>
      </c>
      <c r="F729" s="43">
        <f>C729-G729</f>
        <v>2777000</v>
      </c>
      <c r="G729" s="43">
        <v>194223000</v>
      </c>
      <c r="H729" s="44">
        <v>100</v>
      </c>
      <c r="I729" s="28"/>
      <c r="J729" s="29">
        <v>104</v>
      </c>
      <c r="K729" s="30"/>
      <c r="L729" s="31"/>
    </row>
    <row r="730" spans="1:12" ht="17.25" thickBot="1" x14ac:dyDescent="0.3">
      <c r="A730" s="42"/>
      <c r="B730" s="42" t="s">
        <v>787</v>
      </c>
      <c r="C730" s="43">
        <v>197000000</v>
      </c>
      <c r="D730" s="42" t="s">
        <v>89</v>
      </c>
      <c r="E730" s="43">
        <v>194620000</v>
      </c>
      <c r="F730" s="43">
        <f>C730-G730</f>
        <v>2380000</v>
      </c>
      <c r="G730" s="43">
        <f>194620000</f>
        <v>194620000</v>
      </c>
      <c r="H730" s="44">
        <v>100</v>
      </c>
      <c r="I730" s="28"/>
      <c r="J730" s="29">
        <v>7245000</v>
      </c>
      <c r="K730" s="30"/>
      <c r="L730" s="31"/>
    </row>
    <row r="731" spans="1:12" ht="17.25" thickBot="1" x14ac:dyDescent="0.3">
      <c r="A731" s="42"/>
      <c r="B731" s="42" t="s">
        <v>788</v>
      </c>
      <c r="C731" s="43">
        <v>70000000</v>
      </c>
      <c r="D731" s="42" t="s">
        <v>194</v>
      </c>
      <c r="E731" s="43">
        <v>69386000</v>
      </c>
      <c r="F731" s="43">
        <f>C731-G731</f>
        <v>614000</v>
      </c>
      <c r="G731" s="73">
        <v>69386000</v>
      </c>
      <c r="H731" s="44">
        <v>100</v>
      </c>
      <c r="I731" s="28"/>
      <c r="J731" s="29"/>
      <c r="K731" s="30"/>
      <c r="L731" s="31"/>
    </row>
    <row r="732" spans="1:12" ht="17.25" thickBot="1" x14ac:dyDescent="0.3">
      <c r="A732" s="42"/>
      <c r="B732" s="42" t="s">
        <v>789</v>
      </c>
      <c r="C732" s="43">
        <v>645902500</v>
      </c>
      <c r="D732" s="42" t="s">
        <v>19</v>
      </c>
      <c r="E732" s="43">
        <v>0</v>
      </c>
      <c r="F732" s="43">
        <f>C732-G732</f>
        <v>144795893</v>
      </c>
      <c r="G732" s="74">
        <f>485075069+16031538</f>
        <v>501106607</v>
      </c>
      <c r="H732" s="44">
        <f>G732/C732*100</f>
        <v>77.582391614833512</v>
      </c>
      <c r="I732" s="28"/>
      <c r="J732" s="29">
        <f>507775047-G732</f>
        <v>6668440</v>
      </c>
      <c r="K732" s="30"/>
      <c r="L732" s="31"/>
    </row>
    <row r="733" spans="1:12" ht="17.25" thickBot="1" x14ac:dyDescent="0.3">
      <c r="A733" s="42"/>
      <c r="B733" s="42" t="s">
        <v>790</v>
      </c>
      <c r="C733" s="43">
        <v>200000000</v>
      </c>
      <c r="D733" s="42" t="s">
        <v>89</v>
      </c>
      <c r="E733" s="43">
        <v>198036000</v>
      </c>
      <c r="F733" s="43">
        <v>200000000</v>
      </c>
      <c r="G733" s="59">
        <v>198036000</v>
      </c>
      <c r="H733" s="44">
        <v>100</v>
      </c>
      <c r="I733" s="28"/>
      <c r="J733" s="29"/>
      <c r="K733" s="30"/>
      <c r="L733" s="31"/>
    </row>
    <row r="734" spans="1:12" ht="17.25" thickBot="1" x14ac:dyDescent="0.3">
      <c r="A734" s="42"/>
      <c r="B734" s="42" t="s">
        <v>791</v>
      </c>
      <c r="C734" s="43">
        <v>200000000</v>
      </c>
      <c r="D734" s="42" t="s">
        <v>89</v>
      </c>
      <c r="E734" s="43">
        <v>198054000</v>
      </c>
      <c r="F734" s="43">
        <v>200000000</v>
      </c>
      <c r="G734" s="43">
        <v>198054000</v>
      </c>
      <c r="H734" s="44">
        <v>100</v>
      </c>
      <c r="I734" s="28"/>
      <c r="J734" s="29"/>
      <c r="K734" s="30"/>
      <c r="L734" s="31"/>
    </row>
    <row r="735" spans="1:12" ht="17.25" thickBot="1" x14ac:dyDescent="0.3">
      <c r="A735" s="42"/>
      <c r="B735" s="42" t="s">
        <v>792</v>
      </c>
      <c r="C735" s="43">
        <v>200000000</v>
      </c>
      <c r="D735" s="42" t="s">
        <v>89</v>
      </c>
      <c r="E735" s="43">
        <v>198047000</v>
      </c>
      <c r="F735" s="43">
        <v>200000000</v>
      </c>
      <c r="G735" s="43">
        <v>198047000</v>
      </c>
      <c r="H735" s="44">
        <v>100</v>
      </c>
      <c r="I735" s="28"/>
      <c r="J735" s="29"/>
      <c r="K735" s="30"/>
      <c r="L735" s="31"/>
    </row>
    <row r="736" spans="1:12" ht="17.25" thickBot="1" x14ac:dyDescent="0.3">
      <c r="A736" s="42"/>
      <c r="B736" s="42" t="s">
        <v>793</v>
      </c>
      <c r="C736" s="43">
        <v>200000000</v>
      </c>
      <c r="D736" s="42" t="s">
        <v>89</v>
      </c>
      <c r="E736" s="43">
        <v>198031000</v>
      </c>
      <c r="F736" s="43">
        <v>200000000</v>
      </c>
      <c r="G736" s="43">
        <v>198031000</v>
      </c>
      <c r="H736" s="44">
        <v>100</v>
      </c>
      <c r="I736" s="28"/>
      <c r="J736" s="29"/>
      <c r="K736" s="30"/>
      <c r="L736" s="31"/>
    </row>
    <row r="737" spans="1:12" ht="17.25" thickBot="1" x14ac:dyDescent="0.3">
      <c r="A737" s="42"/>
      <c r="B737" s="42" t="s">
        <v>794</v>
      </c>
      <c r="C737" s="43">
        <v>150000000</v>
      </c>
      <c r="D737" s="42" t="s">
        <v>89</v>
      </c>
      <c r="E737" s="43">
        <v>148503000</v>
      </c>
      <c r="F737" s="43">
        <v>150000000</v>
      </c>
      <c r="G737" s="43">
        <v>148503000</v>
      </c>
      <c r="H737" s="44">
        <v>100</v>
      </c>
      <c r="I737" s="28"/>
      <c r="J737" s="29"/>
      <c r="K737" s="30"/>
      <c r="L737" s="31"/>
    </row>
    <row r="738" spans="1:12" ht="17.25" thickBot="1" x14ac:dyDescent="0.3">
      <c r="A738" s="42"/>
      <c r="B738" s="42" t="s">
        <v>795</v>
      </c>
      <c r="C738" s="43">
        <v>200000000</v>
      </c>
      <c r="D738" s="42" t="s">
        <v>89</v>
      </c>
      <c r="E738" s="43">
        <v>198064000</v>
      </c>
      <c r="F738" s="43">
        <v>200000000</v>
      </c>
      <c r="G738" s="43">
        <v>198064000</v>
      </c>
      <c r="H738" s="44">
        <v>100</v>
      </c>
      <c r="I738" s="28"/>
      <c r="J738" s="29"/>
      <c r="K738" s="30"/>
      <c r="L738" s="31"/>
    </row>
    <row r="739" spans="1:12" ht="17.25" thickBot="1" x14ac:dyDescent="0.3">
      <c r="A739" s="42"/>
      <c r="B739" s="42" t="s">
        <v>796</v>
      </c>
      <c r="C739" s="43">
        <v>200000000</v>
      </c>
      <c r="D739" s="42" t="s">
        <v>89</v>
      </c>
      <c r="E739" s="43">
        <v>198089000</v>
      </c>
      <c r="F739" s="43">
        <v>200000000</v>
      </c>
      <c r="G739" s="43">
        <v>198089000</v>
      </c>
      <c r="H739" s="44">
        <v>100</v>
      </c>
      <c r="I739" s="28"/>
      <c r="J739" s="29"/>
      <c r="K739" s="30"/>
      <c r="L739" s="31"/>
    </row>
    <row r="740" spans="1:12" ht="17.25" thickBot="1" x14ac:dyDescent="0.3">
      <c r="A740" s="37" t="s">
        <v>797</v>
      </c>
      <c r="B740" s="37" t="s">
        <v>798</v>
      </c>
      <c r="C740" s="38">
        <f>SUM(C741:C748)</f>
        <v>8698673000</v>
      </c>
      <c r="D740" s="39"/>
      <c r="E740" s="40"/>
      <c r="F740" s="38">
        <f>C740-G740</f>
        <v>240227499</v>
      </c>
      <c r="G740" s="38">
        <f>SUM(G741:G748)</f>
        <v>8458445501</v>
      </c>
      <c r="H740" s="41">
        <f>AVERAGE(H741:H747)</f>
        <v>100</v>
      </c>
      <c r="I740" s="28"/>
      <c r="J740" s="29"/>
      <c r="K740" s="30"/>
      <c r="L740" s="31"/>
    </row>
    <row r="741" spans="1:12" ht="17.25" thickBot="1" x14ac:dyDescent="0.3">
      <c r="A741" s="42"/>
      <c r="B741" s="42" t="s">
        <v>799</v>
      </c>
      <c r="C741" s="43">
        <v>171804000</v>
      </c>
      <c r="D741" s="42" t="s">
        <v>89</v>
      </c>
      <c r="E741" s="43">
        <v>169830000</v>
      </c>
      <c r="F741" s="43">
        <f>C741-G741</f>
        <v>1974000</v>
      </c>
      <c r="G741" s="43">
        <v>169830000</v>
      </c>
      <c r="H741" s="44">
        <v>100</v>
      </c>
      <c r="I741" s="28"/>
      <c r="J741" s="29"/>
      <c r="K741" s="30"/>
      <c r="L741" s="31"/>
    </row>
    <row r="742" spans="1:12" ht="17.25" thickBot="1" x14ac:dyDescent="0.3">
      <c r="A742" s="42"/>
      <c r="B742" s="42" t="s">
        <v>800</v>
      </c>
      <c r="C742" s="43">
        <v>171804000</v>
      </c>
      <c r="D742" s="42" t="s">
        <v>89</v>
      </c>
      <c r="E742" s="43">
        <v>169830000</v>
      </c>
      <c r="F742" s="43">
        <f>C742-G742</f>
        <v>1974000</v>
      </c>
      <c r="G742" s="43">
        <v>169830000</v>
      </c>
      <c r="H742" s="44">
        <v>100</v>
      </c>
      <c r="I742" s="28"/>
      <c r="J742" s="29"/>
      <c r="K742" s="30"/>
      <c r="L742" s="31"/>
    </row>
    <row r="743" spans="1:12" ht="17.25" thickBot="1" x14ac:dyDescent="0.3">
      <c r="A743" s="42"/>
      <c r="B743" s="42" t="s">
        <v>801</v>
      </c>
      <c r="C743" s="43">
        <v>171804000</v>
      </c>
      <c r="D743" s="42" t="s">
        <v>89</v>
      </c>
      <c r="E743" s="43">
        <v>169830000</v>
      </c>
      <c r="F743" s="43">
        <f>C743-G743</f>
        <v>1974000</v>
      </c>
      <c r="G743" s="43">
        <v>169830000</v>
      </c>
      <c r="H743" s="44">
        <v>100</v>
      </c>
      <c r="I743" s="28"/>
      <c r="J743" s="29"/>
      <c r="K743" s="30"/>
      <c r="L743" s="31"/>
    </row>
    <row r="744" spans="1:12" ht="17.25" thickBot="1" x14ac:dyDescent="0.3">
      <c r="A744" s="42"/>
      <c r="B744" s="42" t="s">
        <v>802</v>
      </c>
      <c r="C744" s="43">
        <v>171804000</v>
      </c>
      <c r="D744" s="42" t="s">
        <v>89</v>
      </c>
      <c r="E744" s="43">
        <v>169830000</v>
      </c>
      <c r="F744" s="43">
        <f>C744-G744</f>
        <v>1974000</v>
      </c>
      <c r="G744" s="43">
        <v>169830000</v>
      </c>
      <c r="H744" s="44">
        <v>100</v>
      </c>
      <c r="I744" s="28"/>
      <c r="J744" s="29"/>
      <c r="K744" s="30"/>
      <c r="L744" s="31"/>
    </row>
    <row r="745" spans="1:12" ht="17.25" thickBot="1" x14ac:dyDescent="0.3">
      <c r="A745" s="42"/>
      <c r="B745" s="42" t="s">
        <v>803</v>
      </c>
      <c r="C745" s="43">
        <v>171804000</v>
      </c>
      <c r="D745" s="42" t="s">
        <v>89</v>
      </c>
      <c r="E745" s="43">
        <v>169608000</v>
      </c>
      <c r="F745" s="43">
        <f>C745-G745</f>
        <v>2196000</v>
      </c>
      <c r="G745" s="43">
        <v>169608000</v>
      </c>
      <c r="H745" s="44">
        <v>100</v>
      </c>
      <c r="I745" s="28"/>
      <c r="J745" s="29">
        <f>C746-G746</f>
        <v>208320118</v>
      </c>
      <c r="K745" s="30"/>
      <c r="L745" s="31"/>
    </row>
    <row r="746" spans="1:12" ht="17.25" thickBot="1" x14ac:dyDescent="0.3">
      <c r="A746" s="42"/>
      <c r="B746" s="42" t="s">
        <v>804</v>
      </c>
      <c r="C746" s="43">
        <v>7618673000</v>
      </c>
      <c r="D746" s="42" t="s">
        <v>89</v>
      </c>
      <c r="E746" s="43">
        <v>7410352882</v>
      </c>
      <c r="F746" s="43">
        <f>C746-G746</f>
        <v>208320118</v>
      </c>
      <c r="G746" s="43">
        <v>7410352882</v>
      </c>
      <c r="H746" s="44">
        <v>100</v>
      </c>
      <c r="I746" s="28"/>
      <c r="J746" s="29">
        <v>38102000</v>
      </c>
      <c r="K746" s="30"/>
      <c r="L746" s="31"/>
    </row>
    <row r="747" spans="1:12" ht="17.25" thickBot="1" x14ac:dyDescent="0.3">
      <c r="A747" s="42"/>
      <c r="B747" s="42" t="s">
        <v>805</v>
      </c>
      <c r="C747" s="43">
        <v>80000000</v>
      </c>
      <c r="D747" s="42" t="s">
        <v>194</v>
      </c>
      <c r="E747" s="43">
        <v>78921000</v>
      </c>
      <c r="F747" s="43">
        <f>C747-G747</f>
        <v>1079000</v>
      </c>
      <c r="G747" s="43">
        <v>78921000</v>
      </c>
      <c r="H747" s="44">
        <v>100</v>
      </c>
      <c r="I747" s="28"/>
      <c r="J747" s="29"/>
      <c r="K747" s="30"/>
      <c r="L747" s="31"/>
    </row>
    <row r="748" spans="1:12" ht="17.25" thickBot="1" x14ac:dyDescent="0.3">
      <c r="A748" s="42"/>
      <c r="B748" s="42" t="s">
        <v>806</v>
      </c>
      <c r="C748" s="43">
        <v>140980000</v>
      </c>
      <c r="D748" s="42" t="s">
        <v>19</v>
      </c>
      <c r="E748" s="43">
        <v>0</v>
      </c>
      <c r="F748" s="43">
        <f>C748-G748</f>
        <v>20736381</v>
      </c>
      <c r="G748" s="43">
        <v>120243619</v>
      </c>
      <c r="H748" s="44">
        <f>G748/C748*100</f>
        <v>85.291260462476941</v>
      </c>
      <c r="I748" s="28"/>
      <c r="J748" s="29"/>
      <c r="K748" s="30"/>
      <c r="L748" s="31"/>
    </row>
    <row r="749" spans="1:12" ht="17.25" thickBot="1" x14ac:dyDescent="0.3">
      <c r="A749" s="37" t="s">
        <v>807</v>
      </c>
      <c r="B749" s="37" t="s">
        <v>808</v>
      </c>
      <c r="C749" s="38">
        <f>SUM(C750:C760)</f>
        <v>2000000000</v>
      </c>
      <c r="D749" s="39"/>
      <c r="E749" s="40"/>
      <c r="F749" s="38">
        <f>C749-G749</f>
        <v>55385700</v>
      </c>
      <c r="G749" s="38">
        <f>SUM(G750:G760)</f>
        <v>1944614300</v>
      </c>
      <c r="H749" s="45">
        <f>AVERAGE(H760,H750:H758)</f>
        <v>100</v>
      </c>
      <c r="I749" s="28"/>
      <c r="J749" s="29"/>
      <c r="K749" s="30"/>
      <c r="L749" s="31"/>
    </row>
    <row r="750" spans="1:12" ht="27.75" thickBot="1" x14ac:dyDescent="0.3">
      <c r="A750" s="42"/>
      <c r="B750" s="42" t="s">
        <v>809</v>
      </c>
      <c r="C750" s="43">
        <v>200000000</v>
      </c>
      <c r="D750" s="42" t="s">
        <v>89</v>
      </c>
      <c r="E750" s="43">
        <v>196839000</v>
      </c>
      <c r="F750" s="43">
        <f>C750-G750</f>
        <v>3161000</v>
      </c>
      <c r="G750" s="43">
        <v>196839000</v>
      </c>
      <c r="H750" s="44">
        <v>100</v>
      </c>
      <c r="I750" s="28"/>
      <c r="J750" s="29"/>
      <c r="K750" s="30"/>
      <c r="L750" s="31"/>
    </row>
    <row r="751" spans="1:12" ht="17.25" thickBot="1" x14ac:dyDescent="0.3">
      <c r="A751" s="42"/>
      <c r="B751" s="42" t="s">
        <v>810</v>
      </c>
      <c r="C751" s="43">
        <v>200000000</v>
      </c>
      <c r="D751" s="42" t="s">
        <v>89</v>
      </c>
      <c r="E751" s="43">
        <v>196500000</v>
      </c>
      <c r="F751" s="43">
        <f>C751-G751</f>
        <v>3500000</v>
      </c>
      <c r="G751" s="43">
        <v>196500000</v>
      </c>
      <c r="H751" s="44">
        <v>100</v>
      </c>
      <c r="I751" s="28"/>
      <c r="J751" s="29"/>
      <c r="K751" s="30"/>
      <c r="L751" s="31"/>
    </row>
    <row r="752" spans="1:12" ht="17.25" thickBot="1" x14ac:dyDescent="0.3">
      <c r="A752" s="42"/>
      <c r="B752" s="42" t="s">
        <v>811</v>
      </c>
      <c r="C752" s="43">
        <v>200000000</v>
      </c>
      <c r="D752" s="42" t="s">
        <v>89</v>
      </c>
      <c r="E752" s="43">
        <v>196258000</v>
      </c>
      <c r="F752" s="43">
        <f>C752-G752</f>
        <v>3742000</v>
      </c>
      <c r="G752" s="43">
        <v>196258000</v>
      </c>
      <c r="H752" s="44">
        <v>100</v>
      </c>
      <c r="I752" s="28"/>
      <c r="J752" s="29"/>
      <c r="K752" s="30"/>
      <c r="L752" s="31"/>
    </row>
    <row r="753" spans="1:12" ht="17.25" thickBot="1" x14ac:dyDescent="0.3">
      <c r="A753" s="42"/>
      <c r="B753" s="42" t="s">
        <v>812</v>
      </c>
      <c r="C753" s="43">
        <v>200000000</v>
      </c>
      <c r="D753" s="42" t="s">
        <v>89</v>
      </c>
      <c r="E753" s="43">
        <v>196794000</v>
      </c>
      <c r="F753" s="43">
        <f>C753-G753</f>
        <v>3206000</v>
      </c>
      <c r="G753" s="43">
        <v>196794000</v>
      </c>
      <c r="H753" s="44">
        <v>100</v>
      </c>
      <c r="I753" s="28"/>
      <c r="J753" s="29"/>
      <c r="K753" s="30"/>
      <c r="L753" s="31"/>
    </row>
    <row r="754" spans="1:12" ht="17.25" thickBot="1" x14ac:dyDescent="0.3">
      <c r="A754" s="42"/>
      <c r="B754" s="42" t="s">
        <v>813</v>
      </c>
      <c r="C754" s="43">
        <v>200000000</v>
      </c>
      <c r="D754" s="42" t="s">
        <v>89</v>
      </c>
      <c r="E754" s="43">
        <v>195793000</v>
      </c>
      <c r="F754" s="43">
        <f>C754-G754</f>
        <v>4207000</v>
      </c>
      <c r="G754" s="43">
        <v>195793000</v>
      </c>
      <c r="H754" s="44">
        <v>100</v>
      </c>
      <c r="I754" s="28"/>
      <c r="J754" s="29"/>
      <c r="K754" s="30"/>
      <c r="L754" s="31"/>
    </row>
    <row r="755" spans="1:12" ht="17.25" thickBot="1" x14ac:dyDescent="0.3">
      <c r="A755" s="42"/>
      <c r="B755" s="42" t="s">
        <v>814</v>
      </c>
      <c r="C755" s="43">
        <v>200000000</v>
      </c>
      <c r="D755" s="42" t="s">
        <v>89</v>
      </c>
      <c r="E755" s="43">
        <v>194428000</v>
      </c>
      <c r="F755" s="43">
        <f>C755-G755</f>
        <v>5572000</v>
      </c>
      <c r="G755" s="43">
        <v>194428000</v>
      </c>
      <c r="H755" s="44">
        <v>100</v>
      </c>
      <c r="I755" s="28"/>
      <c r="J755" s="29"/>
      <c r="K755" s="30"/>
      <c r="L755" s="31"/>
    </row>
    <row r="756" spans="1:12" ht="17.25" thickBot="1" x14ac:dyDescent="0.3">
      <c r="A756" s="42"/>
      <c r="B756" s="42" t="s">
        <v>815</v>
      </c>
      <c r="C756" s="43">
        <v>200000000</v>
      </c>
      <c r="D756" s="42" t="s">
        <v>89</v>
      </c>
      <c r="E756" s="43">
        <v>193959000</v>
      </c>
      <c r="F756" s="43">
        <f>C756-G756</f>
        <v>6041000</v>
      </c>
      <c r="G756" s="43">
        <v>193959000</v>
      </c>
      <c r="H756" s="44">
        <v>100</v>
      </c>
      <c r="I756" s="28"/>
      <c r="J756" s="29"/>
      <c r="K756" s="30"/>
      <c r="L756" s="31"/>
    </row>
    <row r="757" spans="1:12" ht="17.25" thickBot="1" x14ac:dyDescent="0.3">
      <c r="A757" s="42"/>
      <c r="B757" s="42" t="s">
        <v>816</v>
      </c>
      <c r="C757" s="43">
        <v>100000000</v>
      </c>
      <c r="D757" s="42" t="s">
        <v>89</v>
      </c>
      <c r="E757" s="43">
        <v>95111000</v>
      </c>
      <c r="F757" s="43">
        <f>C757-G757</f>
        <v>4889000</v>
      </c>
      <c r="G757" s="43">
        <v>95111000</v>
      </c>
      <c r="H757" s="44">
        <v>100</v>
      </c>
      <c r="I757" s="28"/>
      <c r="J757" s="29"/>
      <c r="K757" s="30"/>
      <c r="L757" s="31"/>
    </row>
    <row r="758" spans="1:12" ht="17.25" thickBot="1" x14ac:dyDescent="0.3">
      <c r="A758" s="42"/>
      <c r="B758" s="42" t="s">
        <v>817</v>
      </c>
      <c r="C758" s="43">
        <v>200000000</v>
      </c>
      <c r="D758" s="42" t="s">
        <v>89</v>
      </c>
      <c r="E758" s="43">
        <v>196033000</v>
      </c>
      <c r="F758" s="43">
        <f>C758-G758</f>
        <v>3967000</v>
      </c>
      <c r="G758" s="43">
        <v>196033000</v>
      </c>
      <c r="H758" s="44">
        <v>100</v>
      </c>
      <c r="I758" s="28"/>
      <c r="J758" s="29"/>
      <c r="K758" s="30"/>
      <c r="L758" s="31"/>
    </row>
    <row r="759" spans="1:12" ht="17.25" thickBot="1" x14ac:dyDescent="0.3">
      <c r="A759" s="42"/>
      <c r="B759" s="42" t="s">
        <v>818</v>
      </c>
      <c r="C759" s="43">
        <v>100000000</v>
      </c>
      <c r="D759" s="42" t="s">
        <v>19</v>
      </c>
      <c r="E759" s="43">
        <v>0</v>
      </c>
      <c r="F759" s="43">
        <f>C759-G759</f>
        <v>11740700</v>
      </c>
      <c r="G759" s="43">
        <f>6242200+12217100+9700000+42250000+17850000</f>
        <v>88259300</v>
      </c>
      <c r="H759" s="44">
        <f>G759/C759*100</f>
        <v>88.259299999999996</v>
      </c>
      <c r="I759" s="28"/>
      <c r="J759" s="29"/>
      <c r="K759" s="30"/>
      <c r="L759" s="31"/>
    </row>
    <row r="760" spans="1:12" ht="17.25" thickBot="1" x14ac:dyDescent="0.3">
      <c r="A760" s="42"/>
      <c r="B760" s="42" t="s">
        <v>819</v>
      </c>
      <c r="C760" s="43">
        <v>200000000</v>
      </c>
      <c r="D760" s="42" t="s">
        <v>89</v>
      </c>
      <c r="E760" s="43">
        <v>194640000</v>
      </c>
      <c r="F760" s="43">
        <v>360000</v>
      </c>
      <c r="G760" s="43">
        <v>194640000</v>
      </c>
      <c r="H760" s="44">
        <v>100</v>
      </c>
      <c r="I760" s="28"/>
      <c r="J760" s="29"/>
      <c r="K760" s="30"/>
      <c r="L760" s="31"/>
    </row>
    <row r="761" spans="1:12" ht="17.25" thickBot="1" x14ac:dyDescent="0.3">
      <c r="A761" s="37" t="s">
        <v>820</v>
      </c>
      <c r="B761" s="37" t="s">
        <v>821</v>
      </c>
      <c r="C761" s="38">
        <f>SUM(C762:C771)</f>
        <v>1951804000</v>
      </c>
      <c r="D761" s="39"/>
      <c r="E761" s="40"/>
      <c r="F761" s="38">
        <f>C761-G761</f>
        <v>64759100</v>
      </c>
      <c r="G761" s="38">
        <f>SUM(G762:G771)</f>
        <v>1887044900</v>
      </c>
      <c r="H761" s="45">
        <f>AVERAGE(H762:H770)</f>
        <v>100</v>
      </c>
      <c r="I761" s="28"/>
      <c r="J761" s="29"/>
      <c r="K761" s="30"/>
      <c r="L761" s="31"/>
    </row>
    <row r="762" spans="1:12" ht="17.25" thickBot="1" x14ac:dyDescent="0.3">
      <c r="A762" s="42"/>
      <c r="B762" s="42" t="s">
        <v>822</v>
      </c>
      <c r="C762" s="43">
        <v>190000000</v>
      </c>
      <c r="D762" s="42" t="s">
        <v>89</v>
      </c>
      <c r="E762" s="43">
        <v>187923000</v>
      </c>
      <c r="F762" s="43">
        <f>C762-G762</f>
        <v>2077000</v>
      </c>
      <c r="G762" s="43">
        <v>187923000</v>
      </c>
      <c r="H762" s="44">
        <v>100</v>
      </c>
      <c r="I762" s="28"/>
      <c r="J762" s="29"/>
      <c r="K762" s="30"/>
      <c r="L762" s="31"/>
    </row>
    <row r="763" spans="1:12" ht="17.25" thickBot="1" x14ac:dyDescent="0.3">
      <c r="A763" s="42"/>
      <c r="B763" s="42" t="s">
        <v>823</v>
      </c>
      <c r="C763" s="43">
        <v>161000000</v>
      </c>
      <c r="D763" s="42" t="s">
        <v>89</v>
      </c>
      <c r="E763" s="43">
        <v>158730000</v>
      </c>
      <c r="F763" s="43">
        <f>C763-G763</f>
        <v>2270000</v>
      </c>
      <c r="G763" s="43">
        <v>158730000</v>
      </c>
      <c r="H763" s="44">
        <v>100</v>
      </c>
      <c r="I763" s="28"/>
      <c r="J763" s="29"/>
      <c r="K763" s="30"/>
      <c r="L763" s="31"/>
    </row>
    <row r="764" spans="1:12" ht="17.25" thickBot="1" x14ac:dyDescent="0.3">
      <c r="A764" s="42"/>
      <c r="B764" s="42" t="s">
        <v>824</v>
      </c>
      <c r="C764" s="43">
        <v>181804000</v>
      </c>
      <c r="D764" s="42" t="s">
        <v>89</v>
      </c>
      <c r="E764" s="43">
        <v>178932000</v>
      </c>
      <c r="F764" s="43">
        <f>C764-G764</f>
        <v>2872000</v>
      </c>
      <c r="G764" s="43">
        <v>178932000</v>
      </c>
      <c r="H764" s="44">
        <v>100</v>
      </c>
      <c r="I764" s="28"/>
      <c r="J764" s="29"/>
      <c r="K764" s="30"/>
      <c r="L764" s="31"/>
    </row>
    <row r="765" spans="1:12" ht="17.25" thickBot="1" x14ac:dyDescent="0.3">
      <c r="A765" s="42"/>
      <c r="B765" s="42" t="s">
        <v>825</v>
      </c>
      <c r="C765" s="43">
        <v>181804000</v>
      </c>
      <c r="D765" s="42" t="s">
        <v>89</v>
      </c>
      <c r="E765" s="43">
        <v>178932000</v>
      </c>
      <c r="F765" s="43">
        <f>C765-G765</f>
        <v>2872000</v>
      </c>
      <c r="G765" s="43">
        <v>178932000</v>
      </c>
      <c r="H765" s="44">
        <v>100</v>
      </c>
      <c r="I765" s="28"/>
      <c r="J765" s="29"/>
      <c r="K765" s="30"/>
      <c r="L765" s="31"/>
    </row>
    <row r="766" spans="1:12" ht="17.25" thickBot="1" x14ac:dyDescent="0.3">
      <c r="A766" s="42"/>
      <c r="B766" s="42" t="s">
        <v>826</v>
      </c>
      <c r="C766" s="43">
        <v>181804000</v>
      </c>
      <c r="D766" s="42" t="s">
        <v>89</v>
      </c>
      <c r="E766" s="43">
        <v>179043000</v>
      </c>
      <c r="F766" s="43">
        <f>C766-G766</f>
        <v>2761000</v>
      </c>
      <c r="G766" s="43">
        <v>179043000</v>
      </c>
      <c r="H766" s="44">
        <v>100</v>
      </c>
      <c r="I766" s="28"/>
      <c r="J766" s="29"/>
      <c r="K766" s="30"/>
      <c r="L766" s="31"/>
    </row>
    <row r="767" spans="1:12" ht="17.25" thickBot="1" x14ac:dyDescent="0.3">
      <c r="A767" s="42"/>
      <c r="B767" s="42" t="s">
        <v>827</v>
      </c>
      <c r="C767" s="43">
        <v>180000000</v>
      </c>
      <c r="D767" s="42" t="s">
        <v>89</v>
      </c>
      <c r="E767" s="43">
        <v>176934000</v>
      </c>
      <c r="F767" s="43">
        <f>C767-G767</f>
        <v>3066000</v>
      </c>
      <c r="G767" s="43">
        <v>176934000</v>
      </c>
      <c r="H767" s="44">
        <v>100</v>
      </c>
      <c r="I767" s="28"/>
      <c r="J767" s="29"/>
      <c r="K767" s="30"/>
      <c r="L767" s="31"/>
    </row>
    <row r="768" spans="1:12" ht="17.25" thickBot="1" x14ac:dyDescent="0.3">
      <c r="A768" s="42"/>
      <c r="B768" s="42" t="s">
        <v>828</v>
      </c>
      <c r="C768" s="43">
        <v>380000000</v>
      </c>
      <c r="D768" s="42" t="s">
        <v>89</v>
      </c>
      <c r="E768" s="43">
        <v>373496900</v>
      </c>
      <c r="F768" s="43">
        <f>C768-G768</f>
        <v>6503100</v>
      </c>
      <c r="G768" s="43">
        <f>373496900</f>
        <v>373496900</v>
      </c>
      <c r="H768" s="44">
        <v>100</v>
      </c>
      <c r="I768" s="28"/>
      <c r="J768" s="29">
        <v>3678000</v>
      </c>
      <c r="K768" s="30"/>
      <c r="L768" s="31"/>
    </row>
    <row r="769" spans="1:12" ht="17.25" thickBot="1" x14ac:dyDescent="0.3">
      <c r="A769" s="42"/>
      <c r="B769" s="42" t="s">
        <v>829</v>
      </c>
      <c r="C769" s="43">
        <v>181804000</v>
      </c>
      <c r="D769" s="42" t="s">
        <v>89</v>
      </c>
      <c r="E769" s="43">
        <v>178821000</v>
      </c>
      <c r="F769" s="43">
        <f>C769-G769</f>
        <v>2983000</v>
      </c>
      <c r="G769" s="43">
        <v>178821000</v>
      </c>
      <c r="H769" s="44">
        <v>100</v>
      </c>
      <c r="I769" s="28"/>
      <c r="J769" s="29"/>
      <c r="K769" s="30"/>
      <c r="L769" s="31"/>
    </row>
    <row r="770" spans="1:12" ht="17.25" thickBot="1" x14ac:dyDescent="0.3">
      <c r="A770" s="42"/>
      <c r="B770" s="42" t="s">
        <v>830</v>
      </c>
      <c r="C770" s="43">
        <v>197000000</v>
      </c>
      <c r="D770" s="42" t="s">
        <v>89</v>
      </c>
      <c r="E770" s="43">
        <v>194250000</v>
      </c>
      <c r="F770" s="43">
        <f>C770-G770</f>
        <v>2750000</v>
      </c>
      <c r="G770" s="43">
        <v>194250000</v>
      </c>
      <c r="H770" s="44">
        <v>100</v>
      </c>
      <c r="I770" s="28"/>
      <c r="J770" s="29"/>
      <c r="K770" s="30"/>
      <c r="L770" s="31"/>
    </row>
    <row r="771" spans="1:12" ht="17.25" thickBot="1" x14ac:dyDescent="0.3">
      <c r="A771" s="42"/>
      <c r="B771" s="42" t="s">
        <v>818</v>
      </c>
      <c r="C771" s="43">
        <v>116588000</v>
      </c>
      <c r="D771" s="42" t="s">
        <v>19</v>
      </c>
      <c r="E771" s="43">
        <v>0</v>
      </c>
      <c r="F771" s="43">
        <f>C771-G771</f>
        <v>36605000</v>
      </c>
      <c r="G771" s="43">
        <f>4336000+18184500+5802500+37260000+14400000</f>
        <v>79983000</v>
      </c>
      <c r="H771" s="44">
        <f>G771/C771*100</f>
        <v>68.603115243421271</v>
      </c>
      <c r="I771" s="28"/>
      <c r="J771" s="29"/>
      <c r="K771" s="30"/>
      <c r="L771" s="31"/>
    </row>
    <row r="772" spans="1:12" ht="17.25" thickBot="1" x14ac:dyDescent="0.3">
      <c r="A772" s="37" t="s">
        <v>831</v>
      </c>
      <c r="B772" s="37" t="s">
        <v>832</v>
      </c>
      <c r="C772" s="38">
        <f>SUM(C773:C787)</f>
        <v>9000460000</v>
      </c>
      <c r="D772" s="39"/>
      <c r="E772" s="40"/>
      <c r="F772" s="38">
        <f>C772-G772</f>
        <v>398194296</v>
      </c>
      <c r="G772" s="38">
        <f>SUM(G773:G787)</f>
        <v>8602265704</v>
      </c>
      <c r="H772" s="45">
        <f>AVERAGE(H786:H787,H776:H784,H773:H774)</f>
        <v>100</v>
      </c>
      <c r="I772" s="28"/>
      <c r="J772" s="29"/>
      <c r="K772" s="30"/>
      <c r="L772" s="31"/>
    </row>
    <row r="773" spans="1:12" ht="17.25" thickBot="1" x14ac:dyDescent="0.3">
      <c r="A773" s="42"/>
      <c r="B773" s="42" t="s">
        <v>833</v>
      </c>
      <c r="C773" s="43">
        <v>4370000000</v>
      </c>
      <c r="D773" s="42" t="s">
        <v>89</v>
      </c>
      <c r="E773" s="43">
        <v>4350000000</v>
      </c>
      <c r="F773" s="43">
        <f>C773-G773</f>
        <v>20000000</v>
      </c>
      <c r="G773" s="43">
        <v>4350000000</v>
      </c>
      <c r="H773" s="44">
        <v>100</v>
      </c>
      <c r="I773" s="28"/>
      <c r="J773" s="29"/>
      <c r="K773" s="30"/>
      <c r="L773" s="31"/>
    </row>
    <row r="774" spans="1:12" ht="17.25" thickBot="1" x14ac:dyDescent="0.3">
      <c r="A774" s="42"/>
      <c r="B774" s="42" t="s">
        <v>834</v>
      </c>
      <c r="C774" s="43">
        <v>1900000000</v>
      </c>
      <c r="D774" s="42" t="s">
        <v>89</v>
      </c>
      <c r="E774" s="43">
        <v>1888482250</v>
      </c>
      <c r="F774" s="43">
        <f>C774-G774</f>
        <v>11517750</v>
      </c>
      <c r="G774" s="43">
        <v>1888482250</v>
      </c>
      <c r="H774" s="44">
        <v>100</v>
      </c>
      <c r="I774" s="28"/>
      <c r="J774" s="29"/>
      <c r="K774" s="30"/>
      <c r="L774" s="31"/>
    </row>
    <row r="775" spans="1:12" ht="17.25" thickBot="1" x14ac:dyDescent="0.3">
      <c r="A775" s="42"/>
      <c r="B775" s="42" t="s">
        <v>835</v>
      </c>
      <c r="C775" s="43">
        <v>280000000</v>
      </c>
      <c r="D775" s="42" t="s">
        <v>89</v>
      </c>
      <c r="E775" s="43">
        <v>0</v>
      </c>
      <c r="F775" s="43">
        <f>C775-G775</f>
        <v>280000000</v>
      </c>
      <c r="G775" s="43">
        <v>0</v>
      </c>
      <c r="H775" s="44">
        <f>G775/C775*100</f>
        <v>0</v>
      </c>
      <c r="I775" s="28"/>
      <c r="J775" s="29" t="s">
        <v>836</v>
      </c>
      <c r="K775" s="30"/>
      <c r="L775" s="31"/>
    </row>
    <row r="776" spans="1:12" ht="17.25" thickBot="1" x14ac:dyDescent="0.3">
      <c r="A776" s="42"/>
      <c r="B776" s="42" t="s">
        <v>837</v>
      </c>
      <c r="C776" s="43">
        <v>198000000</v>
      </c>
      <c r="D776" s="42" t="s">
        <v>89</v>
      </c>
      <c r="E776" s="43">
        <v>194002000</v>
      </c>
      <c r="F776" s="43">
        <f>C776-G776</f>
        <v>3998000</v>
      </c>
      <c r="G776" s="43">
        <v>194002000</v>
      </c>
      <c r="H776" s="44">
        <v>100</v>
      </c>
      <c r="I776" s="28"/>
      <c r="J776" s="29"/>
      <c r="K776" s="30"/>
      <c r="L776" s="31"/>
    </row>
    <row r="777" spans="1:12" ht="17.25" thickBot="1" x14ac:dyDescent="0.3">
      <c r="A777" s="42"/>
      <c r="B777" s="42" t="s">
        <v>838</v>
      </c>
      <c r="C777" s="43">
        <v>171804000</v>
      </c>
      <c r="D777" s="42" t="s">
        <v>89</v>
      </c>
      <c r="E777" s="43">
        <v>168773000</v>
      </c>
      <c r="F777" s="43">
        <f>C777-G777</f>
        <v>3031000</v>
      </c>
      <c r="G777" s="43">
        <v>168773000</v>
      </c>
      <c r="H777" s="44">
        <v>100</v>
      </c>
      <c r="I777" s="28"/>
      <c r="J777" s="29"/>
      <c r="K777" s="30"/>
      <c r="L777" s="31"/>
    </row>
    <row r="778" spans="1:12" ht="17.25" thickBot="1" x14ac:dyDescent="0.3">
      <c r="A778" s="42"/>
      <c r="B778" s="42" t="s">
        <v>839</v>
      </c>
      <c r="C778" s="43">
        <v>171804000</v>
      </c>
      <c r="D778" s="42" t="s">
        <v>89</v>
      </c>
      <c r="E778" s="43">
        <v>169553000</v>
      </c>
      <c r="F778" s="43">
        <f>C778-G778</f>
        <v>2251000</v>
      </c>
      <c r="G778" s="43">
        <v>169553000</v>
      </c>
      <c r="H778" s="44">
        <v>100</v>
      </c>
      <c r="I778" s="28"/>
      <c r="J778" s="29"/>
      <c r="K778" s="30"/>
      <c r="L778" s="31"/>
    </row>
    <row r="779" spans="1:12" ht="17.25" thickBot="1" x14ac:dyDescent="0.3">
      <c r="A779" s="42"/>
      <c r="B779" s="42" t="s">
        <v>840</v>
      </c>
      <c r="C779" s="43">
        <v>171804000</v>
      </c>
      <c r="D779" s="42" t="s">
        <v>89</v>
      </c>
      <c r="E779" s="43">
        <v>170050000</v>
      </c>
      <c r="F779" s="43">
        <f>C779-G779</f>
        <v>1754000</v>
      </c>
      <c r="G779" s="43">
        <v>170050000</v>
      </c>
      <c r="H779" s="44">
        <v>100</v>
      </c>
      <c r="I779" s="28"/>
      <c r="J779" s="29"/>
      <c r="K779" s="30"/>
      <c r="L779" s="31"/>
    </row>
    <row r="780" spans="1:12" ht="17.25" thickBot="1" x14ac:dyDescent="0.3">
      <c r="A780" s="42"/>
      <c r="B780" s="42" t="s">
        <v>841</v>
      </c>
      <c r="C780" s="43">
        <v>198000000</v>
      </c>
      <c r="D780" s="42" t="s">
        <v>89</v>
      </c>
      <c r="E780" s="43">
        <v>194894000</v>
      </c>
      <c r="F780" s="43">
        <f>C780-G780</f>
        <v>3106000</v>
      </c>
      <c r="G780" s="43">
        <v>194894000</v>
      </c>
      <c r="H780" s="44">
        <v>100</v>
      </c>
      <c r="I780" s="28"/>
      <c r="J780" s="29"/>
      <c r="K780" s="30"/>
      <c r="L780" s="31"/>
    </row>
    <row r="781" spans="1:12" ht="17.25" thickBot="1" x14ac:dyDescent="0.3">
      <c r="A781" s="42"/>
      <c r="B781" s="42" t="s">
        <v>842</v>
      </c>
      <c r="C781" s="43">
        <v>50000000</v>
      </c>
      <c r="D781" s="42" t="s">
        <v>194</v>
      </c>
      <c r="E781" s="43">
        <v>48595000</v>
      </c>
      <c r="F781" s="43">
        <f>C781-G781</f>
        <v>1405000</v>
      </c>
      <c r="G781" s="43">
        <v>48595000</v>
      </c>
      <c r="H781" s="44">
        <v>100</v>
      </c>
      <c r="I781" s="28"/>
      <c r="J781" s="29"/>
      <c r="K781" s="30"/>
      <c r="L781" s="31"/>
    </row>
    <row r="782" spans="1:12" ht="17.25" thickBot="1" x14ac:dyDescent="0.3">
      <c r="A782" s="42"/>
      <c r="B782" s="42" t="s">
        <v>843</v>
      </c>
      <c r="C782" s="43">
        <v>60000000</v>
      </c>
      <c r="D782" s="42" t="s">
        <v>194</v>
      </c>
      <c r="E782" s="43">
        <v>58275000</v>
      </c>
      <c r="F782" s="43">
        <f>C782-G782</f>
        <v>1725000</v>
      </c>
      <c r="G782" s="43">
        <v>58275000</v>
      </c>
      <c r="H782" s="44">
        <v>100</v>
      </c>
      <c r="I782" s="28"/>
      <c r="J782" s="29"/>
      <c r="K782" s="30"/>
      <c r="L782" s="31"/>
    </row>
    <row r="783" spans="1:12" ht="17.25" thickBot="1" x14ac:dyDescent="0.3">
      <c r="A783" s="42"/>
      <c r="B783" s="42" t="s">
        <v>844</v>
      </c>
      <c r="C783" s="43">
        <v>40000000</v>
      </c>
      <c r="D783" s="42" t="s">
        <v>194</v>
      </c>
      <c r="E783" s="43">
        <v>38100000</v>
      </c>
      <c r="F783" s="43">
        <f>C783-G783</f>
        <v>1900000</v>
      </c>
      <c r="G783" s="43">
        <v>38100000</v>
      </c>
      <c r="H783" s="44">
        <v>100</v>
      </c>
      <c r="I783" s="28"/>
      <c r="J783" s="29"/>
      <c r="K783" s="30"/>
      <c r="L783" s="31"/>
    </row>
    <row r="784" spans="1:12" ht="17.25" thickBot="1" x14ac:dyDescent="0.3">
      <c r="A784" s="42"/>
      <c r="B784" s="42" t="s">
        <v>845</v>
      </c>
      <c r="C784" s="43">
        <v>50000000</v>
      </c>
      <c r="D784" s="42" t="s">
        <v>194</v>
      </c>
      <c r="E784" s="43">
        <v>48187000</v>
      </c>
      <c r="F784" s="43">
        <f>C784-G784</f>
        <v>1813000</v>
      </c>
      <c r="G784" s="43">
        <v>48187000</v>
      </c>
      <c r="H784" s="44">
        <v>100</v>
      </c>
      <c r="I784" s="28"/>
      <c r="J784" s="29"/>
      <c r="K784" s="30"/>
      <c r="L784" s="31"/>
    </row>
    <row r="785" spans="1:12" ht="17.25" thickBot="1" x14ac:dyDescent="0.3">
      <c r="A785" s="42"/>
      <c r="B785" s="42" t="s">
        <v>846</v>
      </c>
      <c r="C785" s="43">
        <v>139048000</v>
      </c>
      <c r="D785" s="42" t="s">
        <v>19</v>
      </c>
      <c r="E785" s="43">
        <v>0</v>
      </c>
      <c r="F785" s="43">
        <f>C785-G785</f>
        <v>46003546</v>
      </c>
      <c r="G785" s="43">
        <v>93044454</v>
      </c>
      <c r="H785" s="44">
        <f>G785/C785*100</f>
        <v>66.915348656579027</v>
      </c>
      <c r="I785" s="28"/>
      <c r="J785" s="29"/>
      <c r="K785" s="30"/>
      <c r="L785" s="31"/>
    </row>
    <row r="786" spans="1:12" ht="27.75" thickBot="1" x14ac:dyDescent="0.3">
      <c r="A786" s="42"/>
      <c r="B786" s="42" t="s">
        <v>847</v>
      </c>
      <c r="C786" s="43">
        <v>1170000000</v>
      </c>
      <c r="D786" s="42" t="s">
        <v>89</v>
      </c>
      <c r="E786" s="43">
        <v>1150310000</v>
      </c>
      <c r="F786" s="43">
        <f>C786-G786</f>
        <v>19690000</v>
      </c>
      <c r="G786" s="43">
        <v>1150310000</v>
      </c>
      <c r="H786" s="44">
        <v>100</v>
      </c>
      <c r="I786" s="28"/>
      <c r="J786" s="29"/>
      <c r="K786" s="30"/>
      <c r="L786" s="31"/>
    </row>
    <row r="787" spans="1:12" ht="27.75" thickBot="1" x14ac:dyDescent="0.3">
      <c r="A787" s="42"/>
      <c r="B787" s="42" t="s">
        <v>848</v>
      </c>
      <c r="C787" s="43">
        <v>30000000</v>
      </c>
      <c r="D787" s="42" t="s">
        <v>19</v>
      </c>
      <c r="E787" s="43">
        <v>0</v>
      </c>
      <c r="F787" s="43">
        <f>C787-G787</f>
        <v>0</v>
      </c>
      <c r="G787" s="43">
        <v>30000000</v>
      </c>
      <c r="H787" s="44">
        <f>G787/C787*100</f>
        <v>100</v>
      </c>
      <c r="I787" s="28"/>
      <c r="J787" s="29"/>
      <c r="K787" s="30"/>
      <c r="L787" s="31"/>
    </row>
    <row r="788" spans="1:12" ht="17.25" thickBot="1" x14ac:dyDescent="0.3">
      <c r="A788" s="37" t="s">
        <v>849</v>
      </c>
      <c r="B788" s="37" t="s">
        <v>850</v>
      </c>
      <c r="C788" s="38">
        <v>400000000</v>
      </c>
      <c r="D788" s="39"/>
      <c r="E788" s="40"/>
      <c r="F788" s="38">
        <f>C788-G788</f>
        <v>6469000</v>
      </c>
      <c r="G788" s="38">
        <f>SUM(G789:G790)</f>
        <v>393531000</v>
      </c>
      <c r="H788" s="45">
        <f>AVERAGE(H789:H790)</f>
        <v>100</v>
      </c>
      <c r="I788" s="28"/>
      <c r="J788" s="29"/>
      <c r="K788" s="30"/>
      <c r="L788" s="31"/>
    </row>
    <row r="789" spans="1:12" ht="17.25" thickBot="1" x14ac:dyDescent="0.3">
      <c r="A789" s="42"/>
      <c r="B789" s="42" t="s">
        <v>851</v>
      </c>
      <c r="C789" s="43">
        <v>200000000</v>
      </c>
      <c r="D789" s="42" t="s">
        <v>89</v>
      </c>
      <c r="E789" s="43">
        <v>196581000</v>
      </c>
      <c r="F789" s="43">
        <f>C789-G789</f>
        <v>3419000</v>
      </c>
      <c r="G789" s="43">
        <v>196581000</v>
      </c>
      <c r="H789" s="44">
        <v>100</v>
      </c>
      <c r="I789" s="28"/>
      <c r="J789" s="29"/>
      <c r="K789" s="30"/>
      <c r="L789" s="31"/>
    </row>
    <row r="790" spans="1:12" ht="17.25" thickBot="1" x14ac:dyDescent="0.3">
      <c r="A790" s="42"/>
      <c r="B790" s="42" t="s">
        <v>852</v>
      </c>
      <c r="C790" s="43">
        <v>200000000</v>
      </c>
      <c r="D790" s="42" t="s">
        <v>89</v>
      </c>
      <c r="E790" s="43">
        <v>196950000</v>
      </c>
      <c r="F790" s="43">
        <f>C790-G790</f>
        <v>3050000</v>
      </c>
      <c r="G790" s="43">
        <v>196950000</v>
      </c>
      <c r="H790" s="44">
        <v>100</v>
      </c>
      <c r="I790" s="28"/>
      <c r="J790" s="29"/>
      <c r="K790" s="30"/>
      <c r="L790" s="31"/>
    </row>
    <row r="791" spans="1:12" ht="17.25" thickBot="1" x14ac:dyDescent="0.3">
      <c r="A791" s="37" t="s">
        <v>853</v>
      </c>
      <c r="B791" s="37" t="s">
        <v>854</v>
      </c>
      <c r="C791" s="38">
        <f>SUM(C792:C869)</f>
        <v>19085175000</v>
      </c>
      <c r="D791" s="39"/>
      <c r="E791" s="40"/>
      <c r="F791" s="38">
        <f>C791-G791</f>
        <v>437398795</v>
      </c>
      <c r="G791" s="38">
        <f>SUM(G792:G869)</f>
        <v>18647776205</v>
      </c>
      <c r="H791" s="45">
        <f>AVERAGE(H856:H869,H792:H854)</f>
        <v>100</v>
      </c>
      <c r="I791" s="28"/>
      <c r="J791" s="29"/>
      <c r="K791" s="30"/>
      <c r="L791" s="31"/>
    </row>
    <row r="792" spans="1:12" ht="17.25" thickBot="1" x14ac:dyDescent="0.3">
      <c r="A792" s="42"/>
      <c r="B792" s="42" t="s">
        <v>71</v>
      </c>
      <c r="C792" s="43">
        <v>4061200000</v>
      </c>
      <c r="D792" s="42" t="s">
        <v>72</v>
      </c>
      <c r="E792" s="43">
        <v>4061200000</v>
      </c>
      <c r="F792" s="43">
        <f>C792-G792</f>
        <v>61800000</v>
      </c>
      <c r="G792" s="43">
        <f>310200000+310100000+310200000+308000000+308000000+308000000+308000000+308000000+307200000+308000000+308000000+303600000+303600000-1500000</f>
        <v>3999400000</v>
      </c>
      <c r="H792" s="44">
        <v>100</v>
      </c>
      <c r="I792" s="28"/>
      <c r="J792" s="29"/>
      <c r="K792" s="30"/>
      <c r="L792" s="31"/>
    </row>
    <row r="793" spans="1:12" ht="17.25" thickBot="1" x14ac:dyDescent="0.3">
      <c r="A793" s="42"/>
      <c r="B793" s="42" t="s">
        <v>855</v>
      </c>
      <c r="C793" s="43">
        <v>200000000</v>
      </c>
      <c r="D793" s="42" t="s">
        <v>50</v>
      </c>
      <c r="E793" s="43">
        <v>198600000</v>
      </c>
      <c r="F793" s="43">
        <f>C793-G793</f>
        <v>1400000</v>
      </c>
      <c r="G793" s="43">
        <v>198600000</v>
      </c>
      <c r="H793" s="44">
        <v>100</v>
      </c>
      <c r="I793" s="28"/>
      <c r="J793" s="29">
        <v>1</v>
      </c>
      <c r="K793" s="30"/>
      <c r="L793" s="31"/>
    </row>
    <row r="794" spans="1:12" ht="17.25" thickBot="1" x14ac:dyDescent="0.3">
      <c r="A794" s="42"/>
      <c r="B794" s="42" t="s">
        <v>856</v>
      </c>
      <c r="C794" s="43">
        <v>200000000</v>
      </c>
      <c r="D794" s="42" t="s">
        <v>50</v>
      </c>
      <c r="E794" s="43">
        <v>198700000</v>
      </c>
      <c r="F794" s="43">
        <f>C794-G794</f>
        <v>1300000</v>
      </c>
      <c r="G794" s="43">
        <v>198700000</v>
      </c>
      <c r="H794" s="44">
        <v>100</v>
      </c>
      <c r="I794" s="28"/>
      <c r="J794" s="29"/>
      <c r="K794" s="30"/>
      <c r="L794" s="31"/>
    </row>
    <row r="795" spans="1:12" ht="17.25" thickBot="1" x14ac:dyDescent="0.3">
      <c r="A795" s="42"/>
      <c r="B795" s="42" t="s">
        <v>857</v>
      </c>
      <c r="C795" s="43">
        <v>200000000</v>
      </c>
      <c r="D795" s="42" t="s">
        <v>50</v>
      </c>
      <c r="E795" s="43">
        <v>198700000</v>
      </c>
      <c r="F795" s="43">
        <f>C795-G795</f>
        <v>1300000</v>
      </c>
      <c r="G795" s="43">
        <v>198700000</v>
      </c>
      <c r="H795" s="44">
        <v>100</v>
      </c>
      <c r="I795" s="28"/>
      <c r="J795" s="29"/>
      <c r="K795" s="30"/>
      <c r="L795" s="31"/>
    </row>
    <row r="796" spans="1:12" ht="17.25" thickBot="1" x14ac:dyDescent="0.3">
      <c r="A796" s="42"/>
      <c r="B796" s="42" t="s">
        <v>858</v>
      </c>
      <c r="C796" s="43">
        <v>200000000</v>
      </c>
      <c r="D796" s="42" t="s">
        <v>50</v>
      </c>
      <c r="E796" s="43">
        <v>198600000</v>
      </c>
      <c r="F796" s="43">
        <f>C796-G796</f>
        <v>1400000</v>
      </c>
      <c r="G796" s="43">
        <v>198600000</v>
      </c>
      <c r="H796" s="44">
        <v>100</v>
      </c>
      <c r="I796" s="28"/>
      <c r="J796" s="29"/>
      <c r="K796" s="30"/>
      <c r="L796" s="31"/>
    </row>
    <row r="797" spans="1:12" ht="17.25" thickBot="1" x14ac:dyDescent="0.3">
      <c r="A797" s="42"/>
      <c r="B797" s="42" t="s">
        <v>859</v>
      </c>
      <c r="C797" s="43">
        <v>200000000</v>
      </c>
      <c r="D797" s="42" t="s">
        <v>50</v>
      </c>
      <c r="E797" s="43">
        <v>195000000</v>
      </c>
      <c r="F797" s="43">
        <f>C797-G797</f>
        <v>5000000</v>
      </c>
      <c r="G797" s="43">
        <v>195000000</v>
      </c>
      <c r="H797" s="44">
        <v>100</v>
      </c>
      <c r="I797" s="28"/>
      <c r="J797" s="29">
        <v>2</v>
      </c>
      <c r="K797" s="30"/>
      <c r="L797" s="31"/>
    </row>
    <row r="798" spans="1:12" ht="17.25" thickBot="1" x14ac:dyDescent="0.3">
      <c r="A798" s="42"/>
      <c r="B798" s="42" t="s">
        <v>860</v>
      </c>
      <c r="C798" s="43">
        <v>100000000</v>
      </c>
      <c r="D798" s="42" t="s">
        <v>194</v>
      </c>
      <c r="E798" s="43">
        <v>99189000</v>
      </c>
      <c r="F798" s="43">
        <f>C798-G798</f>
        <v>811000</v>
      </c>
      <c r="G798" s="43">
        <v>99189000</v>
      </c>
      <c r="H798" s="44">
        <v>100</v>
      </c>
      <c r="I798" s="28"/>
      <c r="J798" s="29"/>
      <c r="K798" s="30"/>
      <c r="L798" s="31"/>
    </row>
    <row r="799" spans="1:12" ht="17.25" thickBot="1" x14ac:dyDescent="0.3">
      <c r="A799" s="42"/>
      <c r="B799" s="42" t="s">
        <v>861</v>
      </c>
      <c r="C799" s="43">
        <v>100000000</v>
      </c>
      <c r="D799" s="42" t="s">
        <v>194</v>
      </c>
      <c r="E799" s="43">
        <v>98911000</v>
      </c>
      <c r="F799" s="43">
        <f>C799-G799</f>
        <v>1089000</v>
      </c>
      <c r="G799" s="43">
        <v>98911000</v>
      </c>
      <c r="H799" s="44">
        <v>100</v>
      </c>
      <c r="I799" s="28"/>
      <c r="J799" s="29"/>
      <c r="K799" s="30"/>
      <c r="L799" s="31"/>
    </row>
    <row r="800" spans="1:12" ht="17.25" thickBot="1" x14ac:dyDescent="0.3">
      <c r="A800" s="42"/>
      <c r="B800" s="42" t="s">
        <v>862</v>
      </c>
      <c r="C800" s="43">
        <v>100000000</v>
      </c>
      <c r="D800" s="42" t="s">
        <v>194</v>
      </c>
      <c r="E800" s="43">
        <v>98749000</v>
      </c>
      <c r="F800" s="43">
        <f>C800-G800</f>
        <v>1251000</v>
      </c>
      <c r="G800" s="43">
        <v>98749000</v>
      </c>
      <c r="H800" s="44">
        <v>100</v>
      </c>
      <c r="I800" s="28"/>
      <c r="J800" s="29"/>
      <c r="K800" s="30"/>
      <c r="L800" s="31"/>
    </row>
    <row r="801" spans="1:12" ht="17.25" thickBot="1" x14ac:dyDescent="0.3">
      <c r="A801" s="42"/>
      <c r="B801" s="42" t="s">
        <v>863</v>
      </c>
      <c r="C801" s="43">
        <v>100000000</v>
      </c>
      <c r="D801" s="42" t="s">
        <v>194</v>
      </c>
      <c r="E801" s="43">
        <v>98161000</v>
      </c>
      <c r="F801" s="43">
        <f>C801-G801</f>
        <v>1839000</v>
      </c>
      <c r="G801" s="43">
        <v>98161000</v>
      </c>
      <c r="H801" s="44">
        <v>100</v>
      </c>
      <c r="I801" s="28"/>
      <c r="J801" s="29"/>
      <c r="K801" s="30"/>
      <c r="L801" s="31"/>
    </row>
    <row r="802" spans="1:12" ht="17.25" thickBot="1" x14ac:dyDescent="0.3">
      <c r="A802" s="42"/>
      <c r="B802" s="42" t="s">
        <v>864</v>
      </c>
      <c r="C802" s="43">
        <v>100000000</v>
      </c>
      <c r="D802" s="42" t="s">
        <v>194</v>
      </c>
      <c r="E802" s="43">
        <v>98823000</v>
      </c>
      <c r="F802" s="43">
        <f>C802-G802</f>
        <v>1177000</v>
      </c>
      <c r="G802" s="43">
        <v>98823000</v>
      </c>
      <c r="H802" s="44">
        <v>100</v>
      </c>
      <c r="I802" s="28"/>
      <c r="J802" s="29"/>
      <c r="K802" s="30"/>
      <c r="L802" s="31"/>
    </row>
    <row r="803" spans="1:12" ht="17.25" thickBot="1" x14ac:dyDescent="0.3">
      <c r="A803" s="42"/>
      <c r="B803" s="42" t="s">
        <v>865</v>
      </c>
      <c r="C803" s="43">
        <v>100000000</v>
      </c>
      <c r="D803" s="42" t="s">
        <v>194</v>
      </c>
      <c r="E803" s="43">
        <v>99034000</v>
      </c>
      <c r="F803" s="43">
        <f>C803-G803</f>
        <v>966000</v>
      </c>
      <c r="G803" s="43">
        <v>99034000</v>
      </c>
      <c r="H803" s="44">
        <v>100</v>
      </c>
      <c r="I803" s="28"/>
      <c r="J803" s="29"/>
      <c r="K803" s="30"/>
      <c r="L803" s="31"/>
    </row>
    <row r="804" spans="1:12" s="75" customFormat="1" ht="17.25" thickBot="1" x14ac:dyDescent="0.3">
      <c r="A804" s="42"/>
      <c r="B804" s="42" t="s">
        <v>866</v>
      </c>
      <c r="C804" s="43">
        <v>145328000</v>
      </c>
      <c r="D804" s="42" t="s">
        <v>89</v>
      </c>
      <c r="E804" s="43">
        <v>145328000</v>
      </c>
      <c r="F804" s="43">
        <f>C804-G804</f>
        <v>12544000</v>
      </c>
      <c r="G804" s="43">
        <f>145328000-6587000-5957000</f>
        <v>132784000</v>
      </c>
      <c r="H804" s="44">
        <v>100</v>
      </c>
      <c r="I804" s="28"/>
      <c r="J804" s="29">
        <v>3</v>
      </c>
      <c r="K804" s="30"/>
      <c r="L804" s="31"/>
    </row>
    <row r="805" spans="1:12" s="75" customFormat="1" ht="17.25" thickBot="1" x14ac:dyDescent="0.3">
      <c r="A805" s="42"/>
      <c r="B805" s="42" t="s">
        <v>867</v>
      </c>
      <c r="C805" s="43">
        <v>145813000</v>
      </c>
      <c r="D805" s="42" t="s">
        <v>89</v>
      </c>
      <c r="E805" s="43">
        <v>145813000</v>
      </c>
      <c r="F805" s="43">
        <f>C805-G805</f>
        <v>17255000</v>
      </c>
      <c r="G805" s="43">
        <f>145813000-6943000-10312000</f>
        <v>128558000</v>
      </c>
      <c r="H805" s="44">
        <v>100</v>
      </c>
      <c r="I805" s="28"/>
      <c r="J805" s="29">
        <v>4</v>
      </c>
      <c r="K805" s="30"/>
      <c r="L805" s="31"/>
    </row>
    <row r="806" spans="1:12" ht="17.25" thickBot="1" x14ac:dyDescent="0.3">
      <c r="A806" s="42"/>
      <c r="B806" s="42" t="s">
        <v>868</v>
      </c>
      <c r="C806" s="43">
        <v>194741000</v>
      </c>
      <c r="D806" s="42" t="s">
        <v>89</v>
      </c>
      <c r="E806" s="43">
        <v>194741000</v>
      </c>
      <c r="F806" s="43">
        <f>C806-G806</f>
        <v>0</v>
      </c>
      <c r="G806" s="43">
        <f>194741000</f>
        <v>194741000</v>
      </c>
      <c r="H806" s="44">
        <v>100</v>
      </c>
      <c r="I806" s="28"/>
      <c r="J806" s="29">
        <v>5</v>
      </c>
      <c r="K806" s="30"/>
      <c r="L806" s="31"/>
    </row>
    <row r="807" spans="1:12" s="75" customFormat="1" ht="17.25" thickBot="1" x14ac:dyDescent="0.3">
      <c r="A807" s="42"/>
      <c r="B807" s="42" t="s">
        <v>869</v>
      </c>
      <c r="C807" s="43">
        <v>195578000</v>
      </c>
      <c r="D807" s="42" t="s">
        <v>89</v>
      </c>
      <c r="E807" s="43">
        <v>195578000</v>
      </c>
      <c r="F807" s="43">
        <f>C807-G807</f>
        <v>16495000</v>
      </c>
      <c r="G807" s="43">
        <f>195578000-13092000-3403000</f>
        <v>179083000</v>
      </c>
      <c r="H807" s="44">
        <v>100</v>
      </c>
      <c r="I807" s="28"/>
      <c r="J807" s="29">
        <v>6</v>
      </c>
      <c r="K807" s="30"/>
      <c r="L807" s="31"/>
    </row>
    <row r="808" spans="1:12" s="75" customFormat="1" ht="17.25" thickBot="1" x14ac:dyDescent="0.3">
      <c r="A808" s="42"/>
      <c r="B808" s="42" t="s">
        <v>870</v>
      </c>
      <c r="C808" s="43">
        <v>194664000</v>
      </c>
      <c r="D808" s="42" t="s">
        <v>89</v>
      </c>
      <c r="E808" s="43">
        <v>194664000</v>
      </c>
      <c r="F808" s="43">
        <f>C808-G808</f>
        <v>7632000</v>
      </c>
      <c r="G808" s="43">
        <f>194664000-7632000</f>
        <v>187032000</v>
      </c>
      <c r="H808" s="44">
        <v>100</v>
      </c>
      <c r="I808" s="28"/>
      <c r="J808" s="29">
        <v>7</v>
      </c>
      <c r="K808" s="30"/>
      <c r="L808" s="31"/>
    </row>
    <row r="809" spans="1:12" ht="17.25" thickBot="1" x14ac:dyDescent="0.3">
      <c r="A809" s="42"/>
      <c r="B809" s="42" t="s">
        <v>871</v>
      </c>
      <c r="C809" s="43">
        <v>146008000</v>
      </c>
      <c r="D809" s="42" t="s">
        <v>89</v>
      </c>
      <c r="E809" s="43">
        <v>146008000</v>
      </c>
      <c r="F809" s="43">
        <f>C809-G809</f>
        <v>0</v>
      </c>
      <c r="G809" s="43">
        <v>146008000</v>
      </c>
      <c r="H809" s="44">
        <v>100</v>
      </c>
      <c r="I809" s="28"/>
      <c r="J809" s="29">
        <v>8</v>
      </c>
      <c r="K809" s="30"/>
      <c r="L809" s="31"/>
    </row>
    <row r="810" spans="1:12" ht="17.25" thickBot="1" x14ac:dyDescent="0.3">
      <c r="A810" s="42"/>
      <c r="B810" s="42" t="s">
        <v>872</v>
      </c>
      <c r="C810" s="43">
        <v>194624000</v>
      </c>
      <c r="D810" s="42" t="s">
        <v>89</v>
      </c>
      <c r="E810" s="43">
        <v>194624000</v>
      </c>
      <c r="F810" s="43">
        <f>C810-G810</f>
        <v>0</v>
      </c>
      <c r="G810" s="43">
        <v>194624000</v>
      </c>
      <c r="H810" s="44">
        <v>100</v>
      </c>
      <c r="I810" s="28"/>
      <c r="J810" s="29">
        <v>9</v>
      </c>
      <c r="K810" s="30"/>
      <c r="L810" s="31"/>
    </row>
    <row r="811" spans="1:12" ht="17.25" thickBot="1" x14ac:dyDescent="0.3">
      <c r="A811" s="42"/>
      <c r="B811" s="42" t="s">
        <v>873</v>
      </c>
      <c r="C811" s="43">
        <v>197000000</v>
      </c>
      <c r="D811" s="42" t="s">
        <v>89</v>
      </c>
      <c r="E811" s="43">
        <v>197000000</v>
      </c>
      <c r="F811" s="43">
        <f>C811-G811</f>
        <v>0</v>
      </c>
      <c r="G811" s="43">
        <v>197000000</v>
      </c>
      <c r="H811" s="44">
        <v>100</v>
      </c>
      <c r="I811" s="28"/>
      <c r="J811" s="29"/>
      <c r="K811" s="30"/>
      <c r="L811" s="31"/>
    </row>
    <row r="812" spans="1:12" ht="17.25" thickBot="1" x14ac:dyDescent="0.3">
      <c r="A812" s="42"/>
      <c r="B812" s="42" t="s">
        <v>874</v>
      </c>
      <c r="C812" s="43">
        <v>147000000</v>
      </c>
      <c r="D812" s="42" t="s">
        <v>89</v>
      </c>
      <c r="E812" s="43">
        <v>147000000</v>
      </c>
      <c r="F812" s="43">
        <f>C812-G812</f>
        <v>0</v>
      </c>
      <c r="G812" s="43">
        <v>147000000</v>
      </c>
      <c r="H812" s="44">
        <v>100</v>
      </c>
      <c r="I812" s="28"/>
      <c r="J812" s="29"/>
      <c r="K812" s="30"/>
      <c r="L812" s="31"/>
    </row>
    <row r="813" spans="1:12" ht="17.25" thickBot="1" x14ac:dyDescent="0.3">
      <c r="A813" s="42"/>
      <c r="B813" s="42" t="s">
        <v>875</v>
      </c>
      <c r="C813" s="43">
        <v>146041000</v>
      </c>
      <c r="D813" s="42" t="s">
        <v>89</v>
      </c>
      <c r="E813" s="43">
        <v>146041000</v>
      </c>
      <c r="F813" s="43">
        <f>C813-G813</f>
        <v>0</v>
      </c>
      <c r="G813" s="43">
        <v>146041000</v>
      </c>
      <c r="H813" s="44">
        <v>100</v>
      </c>
      <c r="I813" s="28"/>
      <c r="J813" s="29"/>
      <c r="K813" s="30"/>
      <c r="L813" s="31"/>
    </row>
    <row r="814" spans="1:12" ht="17.25" thickBot="1" x14ac:dyDescent="0.3">
      <c r="A814" s="42"/>
      <c r="B814" s="42" t="s">
        <v>876</v>
      </c>
      <c r="C814" s="43">
        <v>197000000</v>
      </c>
      <c r="D814" s="42" t="s">
        <v>89</v>
      </c>
      <c r="E814" s="43">
        <v>197000000</v>
      </c>
      <c r="F814" s="43">
        <f>C814-G814</f>
        <v>0</v>
      </c>
      <c r="G814" s="43">
        <v>197000000</v>
      </c>
      <c r="H814" s="44">
        <v>100</v>
      </c>
      <c r="I814" s="28"/>
      <c r="J814" s="29"/>
      <c r="K814" s="30"/>
      <c r="L814" s="31"/>
    </row>
    <row r="815" spans="1:12" ht="17.25" thickBot="1" x14ac:dyDescent="0.3">
      <c r="A815" s="42"/>
      <c r="B815" s="42" t="s">
        <v>877</v>
      </c>
      <c r="C815" s="43">
        <v>98223000</v>
      </c>
      <c r="D815" s="42" t="s">
        <v>89</v>
      </c>
      <c r="E815" s="43">
        <v>98223000</v>
      </c>
      <c r="F815" s="43">
        <f>C815-G815</f>
        <v>0</v>
      </c>
      <c r="G815" s="43">
        <v>98223000</v>
      </c>
      <c r="H815" s="44">
        <v>100</v>
      </c>
      <c r="I815" s="28"/>
      <c r="J815" s="29"/>
      <c r="K815" s="30"/>
      <c r="L815" s="31"/>
    </row>
    <row r="816" spans="1:12" ht="17.25" thickBot="1" x14ac:dyDescent="0.3">
      <c r="A816" s="42"/>
      <c r="B816" s="42" t="s">
        <v>878</v>
      </c>
      <c r="C816" s="43">
        <v>197721000</v>
      </c>
      <c r="D816" s="42" t="s">
        <v>89</v>
      </c>
      <c r="E816" s="43">
        <v>197721000</v>
      </c>
      <c r="F816" s="43">
        <f>C816-G816</f>
        <v>0</v>
      </c>
      <c r="G816" s="43">
        <v>197721000</v>
      </c>
      <c r="H816" s="44">
        <v>100</v>
      </c>
      <c r="I816" s="28"/>
      <c r="J816" s="29"/>
      <c r="K816" s="30"/>
      <c r="L816" s="31"/>
    </row>
    <row r="817" spans="1:12" ht="17.25" thickBot="1" x14ac:dyDescent="0.3">
      <c r="A817" s="42"/>
      <c r="B817" s="42" t="s">
        <v>879</v>
      </c>
      <c r="C817" s="43">
        <v>166500000</v>
      </c>
      <c r="D817" s="42" t="s">
        <v>89</v>
      </c>
      <c r="E817" s="43">
        <v>166500000</v>
      </c>
      <c r="F817" s="43">
        <f>C817-G817</f>
        <v>0</v>
      </c>
      <c r="G817" s="43">
        <v>166500000</v>
      </c>
      <c r="H817" s="44">
        <v>100</v>
      </c>
      <c r="I817" s="28"/>
      <c r="J817" s="29">
        <v>10</v>
      </c>
      <c r="K817" s="30"/>
      <c r="L817" s="31"/>
    </row>
    <row r="818" spans="1:12" ht="17.25" thickBot="1" x14ac:dyDescent="0.3">
      <c r="A818" s="42"/>
      <c r="B818" s="42" t="s">
        <v>880</v>
      </c>
      <c r="C818" s="43">
        <v>195158000</v>
      </c>
      <c r="D818" s="42" t="s">
        <v>89</v>
      </c>
      <c r="E818" s="43">
        <v>195158000</v>
      </c>
      <c r="F818" s="43">
        <f>C818-G818</f>
        <v>0</v>
      </c>
      <c r="G818" s="43">
        <v>195158000</v>
      </c>
      <c r="H818" s="44">
        <v>100</v>
      </c>
      <c r="I818" s="28"/>
      <c r="J818" s="29">
        <v>11</v>
      </c>
      <c r="K818" s="30"/>
      <c r="L818" s="31"/>
    </row>
    <row r="819" spans="1:12" ht="17.25" thickBot="1" x14ac:dyDescent="0.3">
      <c r="A819" s="42"/>
      <c r="B819" s="42" t="s">
        <v>881</v>
      </c>
      <c r="C819" s="43">
        <v>196311000</v>
      </c>
      <c r="D819" s="42" t="s">
        <v>89</v>
      </c>
      <c r="E819" s="43">
        <v>196311000</v>
      </c>
      <c r="F819" s="43">
        <f>C819-G819</f>
        <v>0</v>
      </c>
      <c r="G819" s="43">
        <v>196311000</v>
      </c>
      <c r="H819" s="44">
        <v>100</v>
      </c>
      <c r="I819" s="28"/>
      <c r="J819" s="29">
        <v>12</v>
      </c>
      <c r="K819" s="30"/>
      <c r="L819" s="31"/>
    </row>
    <row r="820" spans="1:12" ht="17.25" thickBot="1" x14ac:dyDescent="0.3">
      <c r="A820" s="42"/>
      <c r="B820" s="42" t="s">
        <v>882</v>
      </c>
      <c r="C820" s="43">
        <v>197173000</v>
      </c>
      <c r="D820" s="42" t="s">
        <v>89</v>
      </c>
      <c r="E820" s="43">
        <v>197173000</v>
      </c>
      <c r="F820" s="43">
        <f>C820-G820</f>
        <v>0</v>
      </c>
      <c r="G820" s="43">
        <v>197173000</v>
      </c>
      <c r="H820" s="44">
        <v>100</v>
      </c>
      <c r="I820" s="28"/>
      <c r="J820" s="29">
        <v>13</v>
      </c>
      <c r="K820" s="30"/>
      <c r="L820" s="31"/>
    </row>
    <row r="821" spans="1:12" ht="17.25" thickBot="1" x14ac:dyDescent="0.3">
      <c r="A821" s="42"/>
      <c r="B821" s="42" t="s">
        <v>883</v>
      </c>
      <c r="C821" s="43">
        <v>198352000</v>
      </c>
      <c r="D821" s="42" t="s">
        <v>89</v>
      </c>
      <c r="E821" s="43">
        <v>198352000</v>
      </c>
      <c r="F821" s="43">
        <f>C821-G821</f>
        <v>0</v>
      </c>
      <c r="G821" s="43">
        <v>198352000</v>
      </c>
      <c r="H821" s="44">
        <v>100</v>
      </c>
      <c r="I821" s="28"/>
      <c r="J821" s="29">
        <v>14</v>
      </c>
      <c r="K821" s="30"/>
      <c r="L821" s="31"/>
    </row>
    <row r="822" spans="1:12" ht="17.25" thickBot="1" x14ac:dyDescent="0.3">
      <c r="A822" s="42"/>
      <c r="B822" s="42" t="s">
        <v>884</v>
      </c>
      <c r="C822" s="43">
        <v>196303000</v>
      </c>
      <c r="D822" s="42" t="s">
        <v>89</v>
      </c>
      <c r="E822" s="43">
        <v>196303000</v>
      </c>
      <c r="F822" s="43">
        <f>C822-G822</f>
        <v>0</v>
      </c>
      <c r="G822" s="43">
        <v>196303000</v>
      </c>
      <c r="H822" s="44">
        <v>100</v>
      </c>
      <c r="I822" s="28"/>
      <c r="J822" s="29">
        <v>15</v>
      </c>
      <c r="K822" s="30"/>
      <c r="L822" s="31"/>
    </row>
    <row r="823" spans="1:12" s="75" customFormat="1" ht="17.25" thickBot="1" x14ac:dyDescent="0.3">
      <c r="A823" s="42"/>
      <c r="B823" s="42" t="s">
        <v>885</v>
      </c>
      <c r="C823" s="43">
        <v>195617000</v>
      </c>
      <c r="D823" s="42" t="s">
        <v>89</v>
      </c>
      <c r="E823" s="43">
        <v>195617000</v>
      </c>
      <c r="F823" s="43">
        <f>C823-G823</f>
        <v>21512000</v>
      </c>
      <c r="G823" s="43">
        <f>195617000-5605000-1776000-2990000-4575000-6566000</f>
        <v>174105000</v>
      </c>
      <c r="H823" s="44">
        <v>100</v>
      </c>
      <c r="I823" s="28"/>
      <c r="J823" s="29">
        <v>16</v>
      </c>
      <c r="K823" s="30"/>
      <c r="L823" s="31"/>
    </row>
    <row r="824" spans="1:12" s="75" customFormat="1" ht="17.25" thickBot="1" x14ac:dyDescent="0.3">
      <c r="A824" s="42"/>
      <c r="B824" s="42" t="s">
        <v>886</v>
      </c>
      <c r="C824" s="43">
        <v>196577000</v>
      </c>
      <c r="D824" s="42" t="s">
        <v>89</v>
      </c>
      <c r="E824" s="43">
        <v>196577000</v>
      </c>
      <c r="F824" s="43">
        <f>C824-G824</f>
        <v>8614000</v>
      </c>
      <c r="G824" s="43">
        <f>196577000-3678000-4936000</f>
        <v>187963000</v>
      </c>
      <c r="H824" s="44">
        <v>100</v>
      </c>
      <c r="I824" s="28"/>
      <c r="J824" s="29">
        <v>17</v>
      </c>
      <c r="K824" s="30"/>
      <c r="L824" s="31"/>
    </row>
    <row r="825" spans="1:12" ht="17.25" thickBot="1" x14ac:dyDescent="0.3">
      <c r="A825" s="42"/>
      <c r="B825" s="42" t="s">
        <v>887</v>
      </c>
      <c r="C825" s="43">
        <v>198017000</v>
      </c>
      <c r="D825" s="42" t="s">
        <v>89</v>
      </c>
      <c r="E825" s="43">
        <v>198017000</v>
      </c>
      <c r="F825" s="43">
        <f>C825-G825</f>
        <v>0</v>
      </c>
      <c r="G825" s="43">
        <v>198017000</v>
      </c>
      <c r="H825" s="44">
        <v>100</v>
      </c>
      <c r="I825" s="28"/>
      <c r="J825" s="29">
        <v>18</v>
      </c>
      <c r="K825" s="30"/>
      <c r="L825" s="31"/>
    </row>
    <row r="826" spans="1:12" s="75" customFormat="1" ht="17.25" thickBot="1" x14ac:dyDescent="0.3">
      <c r="A826" s="42"/>
      <c r="B826" s="42" t="s">
        <v>888</v>
      </c>
      <c r="C826" s="43">
        <v>196364000</v>
      </c>
      <c r="D826" s="42" t="s">
        <v>89</v>
      </c>
      <c r="E826" s="43">
        <v>196364000</v>
      </c>
      <c r="F826" s="43">
        <f>C826-G826</f>
        <v>7822000</v>
      </c>
      <c r="G826" s="43">
        <f>196364000-2286000-5536000</f>
        <v>188542000</v>
      </c>
      <c r="H826" s="44">
        <v>100</v>
      </c>
      <c r="I826" s="28"/>
      <c r="J826" s="29">
        <v>19</v>
      </c>
      <c r="K826" s="30"/>
      <c r="L826" s="31"/>
    </row>
    <row r="827" spans="1:12" ht="17.25" thickBot="1" x14ac:dyDescent="0.3">
      <c r="A827" s="42"/>
      <c r="B827" s="42" t="s">
        <v>889</v>
      </c>
      <c r="C827" s="43">
        <v>196191000</v>
      </c>
      <c r="D827" s="42" t="s">
        <v>89</v>
      </c>
      <c r="E827" s="43">
        <v>196191000</v>
      </c>
      <c r="F827" s="43">
        <f>C827-G827</f>
        <v>0</v>
      </c>
      <c r="G827" s="43">
        <v>196191000</v>
      </c>
      <c r="H827" s="44">
        <v>100</v>
      </c>
      <c r="I827" s="28"/>
      <c r="J827" s="29">
        <v>20</v>
      </c>
      <c r="K827" s="30"/>
      <c r="L827" s="31"/>
    </row>
    <row r="828" spans="1:12" ht="17.25" thickBot="1" x14ac:dyDescent="0.3">
      <c r="A828" s="42"/>
      <c r="B828" s="42" t="s">
        <v>890</v>
      </c>
      <c r="C828" s="43">
        <v>195994000</v>
      </c>
      <c r="D828" s="42" t="s">
        <v>89</v>
      </c>
      <c r="E828" s="43">
        <v>195994000</v>
      </c>
      <c r="F828" s="43">
        <f>C828-G828</f>
        <v>0</v>
      </c>
      <c r="G828" s="43">
        <v>195994000</v>
      </c>
      <c r="H828" s="44">
        <v>100</v>
      </c>
      <c r="I828" s="28"/>
      <c r="J828" s="29">
        <v>21</v>
      </c>
      <c r="K828" s="30"/>
      <c r="L828" s="31"/>
    </row>
    <row r="829" spans="1:12" ht="17.25" thickBot="1" x14ac:dyDescent="0.3">
      <c r="A829" s="42"/>
      <c r="B829" s="42" t="s">
        <v>891</v>
      </c>
      <c r="C829" s="43">
        <v>98815000</v>
      </c>
      <c r="D829" s="42" t="s">
        <v>89</v>
      </c>
      <c r="E829" s="43">
        <v>98815000</v>
      </c>
      <c r="F829" s="43">
        <f>C829-G829</f>
        <v>0</v>
      </c>
      <c r="G829" s="43">
        <v>98815000</v>
      </c>
      <c r="H829" s="44">
        <v>100</v>
      </c>
      <c r="I829" s="28"/>
      <c r="J829" s="29">
        <v>22</v>
      </c>
      <c r="K829" s="30"/>
      <c r="L829" s="31"/>
    </row>
    <row r="830" spans="1:12" ht="17.25" thickBot="1" x14ac:dyDescent="0.3">
      <c r="A830" s="42"/>
      <c r="B830" s="42" t="s">
        <v>892</v>
      </c>
      <c r="C830" s="43">
        <v>147421000</v>
      </c>
      <c r="D830" s="42" t="s">
        <v>89</v>
      </c>
      <c r="E830" s="43">
        <v>147421000</v>
      </c>
      <c r="F830" s="43">
        <f>C830-G830</f>
        <v>0</v>
      </c>
      <c r="G830" s="43">
        <v>147421000</v>
      </c>
      <c r="H830" s="44">
        <v>100</v>
      </c>
      <c r="I830" s="28"/>
      <c r="J830" s="29">
        <v>23</v>
      </c>
      <c r="K830" s="30"/>
      <c r="L830" s="31"/>
    </row>
    <row r="831" spans="1:12" ht="17.25" thickBot="1" x14ac:dyDescent="0.3">
      <c r="A831" s="42"/>
      <c r="B831" s="42" t="s">
        <v>893</v>
      </c>
      <c r="C831" s="43">
        <v>148263000</v>
      </c>
      <c r="D831" s="42" t="s">
        <v>89</v>
      </c>
      <c r="E831" s="43">
        <v>148263000</v>
      </c>
      <c r="F831" s="43">
        <f>C831-G831</f>
        <v>0</v>
      </c>
      <c r="G831" s="43">
        <v>148263000</v>
      </c>
      <c r="H831" s="44">
        <v>100</v>
      </c>
      <c r="I831" s="28"/>
      <c r="J831" s="29">
        <v>24</v>
      </c>
      <c r="K831" s="30"/>
      <c r="L831" s="31"/>
    </row>
    <row r="832" spans="1:12" ht="17.25" thickBot="1" x14ac:dyDescent="0.3">
      <c r="A832" s="42"/>
      <c r="B832" s="42" t="s">
        <v>894</v>
      </c>
      <c r="C832" s="43">
        <v>147850000</v>
      </c>
      <c r="D832" s="42" t="s">
        <v>89</v>
      </c>
      <c r="E832" s="43">
        <v>147850000</v>
      </c>
      <c r="F832" s="43">
        <f>C832-G832</f>
        <v>0</v>
      </c>
      <c r="G832" s="43">
        <v>147850000</v>
      </c>
      <c r="H832" s="44">
        <v>100</v>
      </c>
      <c r="I832" s="28"/>
      <c r="J832" s="29">
        <v>25</v>
      </c>
      <c r="K832" s="30"/>
      <c r="L832" s="31"/>
    </row>
    <row r="833" spans="1:12" s="75" customFormat="1" ht="17.25" thickBot="1" x14ac:dyDescent="0.3">
      <c r="A833" s="42"/>
      <c r="B833" s="42" t="s">
        <v>895</v>
      </c>
      <c r="C833" s="43">
        <v>149096000</v>
      </c>
      <c r="D833" s="42" t="s">
        <v>89</v>
      </c>
      <c r="E833" s="43">
        <v>149096000</v>
      </c>
      <c r="F833" s="43">
        <f>C833-G833</f>
        <v>57595000</v>
      </c>
      <c r="G833" s="43">
        <f>149096000-983000-3201000-5646000-6054000-9506000-7245000-8759000-2816000-6134000-7251000</f>
        <v>91501000</v>
      </c>
      <c r="H833" s="44">
        <v>100</v>
      </c>
      <c r="I833" s="28"/>
      <c r="J833" s="29">
        <v>26</v>
      </c>
      <c r="K833" s="30"/>
      <c r="L833" s="31"/>
    </row>
    <row r="834" spans="1:12" s="75" customFormat="1" ht="17.25" thickBot="1" x14ac:dyDescent="0.3">
      <c r="A834" s="42"/>
      <c r="B834" s="42" t="s">
        <v>896</v>
      </c>
      <c r="C834" s="43">
        <v>195870000</v>
      </c>
      <c r="D834" s="42" t="s">
        <v>89</v>
      </c>
      <c r="E834" s="43">
        <v>195870000</v>
      </c>
      <c r="F834" s="43">
        <f>C834-G834</f>
        <v>16752000</v>
      </c>
      <c r="G834" s="43">
        <f>195870000-3508000-5706000-6144000-1394000</f>
        <v>179118000</v>
      </c>
      <c r="H834" s="44">
        <v>100</v>
      </c>
      <c r="I834" s="28"/>
      <c r="J834" s="29">
        <v>27</v>
      </c>
      <c r="K834" s="30"/>
      <c r="L834" s="31"/>
    </row>
    <row r="835" spans="1:12" s="75" customFormat="1" ht="17.25" thickBot="1" x14ac:dyDescent="0.3">
      <c r="A835" s="42"/>
      <c r="B835" s="42" t="s">
        <v>897</v>
      </c>
      <c r="C835" s="43">
        <v>195488000</v>
      </c>
      <c r="D835" s="42" t="s">
        <v>89</v>
      </c>
      <c r="E835" s="43">
        <v>195488000</v>
      </c>
      <c r="F835" s="43">
        <f>C835-G835</f>
        <v>91048000</v>
      </c>
      <c r="G835" s="43">
        <f>195488000-3936000-1960000-4488000-4345000-28345000-47974000</f>
        <v>104440000</v>
      </c>
      <c r="H835" s="44">
        <v>100</v>
      </c>
      <c r="I835" s="28"/>
      <c r="J835" s="29">
        <v>28</v>
      </c>
      <c r="K835" s="30"/>
      <c r="L835" s="31"/>
    </row>
    <row r="836" spans="1:12" ht="17.25" thickBot="1" x14ac:dyDescent="0.3">
      <c r="A836" s="42"/>
      <c r="B836" s="42" t="s">
        <v>898</v>
      </c>
      <c r="C836" s="43">
        <v>195470000</v>
      </c>
      <c r="D836" s="42" t="s">
        <v>89</v>
      </c>
      <c r="E836" s="43">
        <v>195470000</v>
      </c>
      <c r="F836" s="43">
        <f>C836-G836</f>
        <v>0</v>
      </c>
      <c r="G836" s="43">
        <v>195470000</v>
      </c>
      <c r="H836" s="44">
        <v>100</v>
      </c>
      <c r="I836" s="28"/>
      <c r="J836" s="29">
        <v>29</v>
      </c>
      <c r="K836" s="30"/>
      <c r="L836" s="31"/>
    </row>
    <row r="837" spans="1:12" ht="17.25" thickBot="1" x14ac:dyDescent="0.3">
      <c r="A837" s="42"/>
      <c r="B837" s="42" t="s">
        <v>899</v>
      </c>
      <c r="C837" s="43">
        <v>196412000</v>
      </c>
      <c r="D837" s="42" t="s">
        <v>89</v>
      </c>
      <c r="E837" s="43">
        <v>196412000</v>
      </c>
      <c r="F837" s="43">
        <f>C837-G837</f>
        <v>0</v>
      </c>
      <c r="G837" s="43">
        <v>196412000</v>
      </c>
      <c r="H837" s="44">
        <v>100</v>
      </c>
      <c r="I837" s="28"/>
      <c r="J837" s="29">
        <v>30</v>
      </c>
      <c r="K837" s="30"/>
      <c r="L837" s="31"/>
    </row>
    <row r="838" spans="1:12" ht="17.25" thickBot="1" x14ac:dyDescent="0.3">
      <c r="A838" s="42"/>
      <c r="B838" s="42" t="s">
        <v>900</v>
      </c>
      <c r="C838" s="43">
        <v>149071000</v>
      </c>
      <c r="D838" s="42" t="s">
        <v>89</v>
      </c>
      <c r="E838" s="43">
        <v>149071000</v>
      </c>
      <c r="F838" s="43">
        <f>C838-G838</f>
        <v>0</v>
      </c>
      <c r="G838" s="43">
        <v>149071000</v>
      </c>
      <c r="H838" s="44">
        <v>100</v>
      </c>
      <c r="I838" s="28"/>
      <c r="J838" s="29"/>
      <c r="K838" s="30"/>
      <c r="L838" s="31"/>
    </row>
    <row r="839" spans="1:12" ht="17.25" thickBot="1" x14ac:dyDescent="0.3">
      <c r="A839" s="42"/>
      <c r="B839" s="42" t="s">
        <v>901</v>
      </c>
      <c r="C839" s="43">
        <v>196695000</v>
      </c>
      <c r="D839" s="42" t="s">
        <v>89</v>
      </c>
      <c r="E839" s="43">
        <v>196695000</v>
      </c>
      <c r="F839" s="43">
        <f>C839-G839</f>
        <v>0</v>
      </c>
      <c r="G839" s="43">
        <v>196695000</v>
      </c>
      <c r="H839" s="44">
        <v>100</v>
      </c>
      <c r="I839" s="28"/>
      <c r="J839" s="29">
        <v>31</v>
      </c>
      <c r="K839" s="30"/>
      <c r="L839" s="31"/>
    </row>
    <row r="840" spans="1:12" s="75" customFormat="1" ht="17.25" thickBot="1" x14ac:dyDescent="0.3">
      <c r="A840" s="42"/>
      <c r="B840" s="42" t="s">
        <v>902</v>
      </c>
      <c r="C840" s="43">
        <v>197983000</v>
      </c>
      <c r="D840" s="42" t="s">
        <v>89</v>
      </c>
      <c r="E840" s="43">
        <v>197983000</v>
      </c>
      <c r="F840" s="43">
        <f>C840-G840</f>
        <v>8483000</v>
      </c>
      <c r="G840" s="43">
        <f>197983000-5654000-2829000</f>
        <v>189500000</v>
      </c>
      <c r="H840" s="44">
        <v>100</v>
      </c>
      <c r="I840" s="28"/>
      <c r="J840" s="29">
        <v>32</v>
      </c>
      <c r="K840" s="30"/>
      <c r="L840" s="31"/>
    </row>
    <row r="841" spans="1:12" s="75" customFormat="1" ht="17.25" thickBot="1" x14ac:dyDescent="0.3">
      <c r="A841" s="42"/>
      <c r="B841" s="42" t="s">
        <v>903</v>
      </c>
      <c r="C841" s="43">
        <v>196534000</v>
      </c>
      <c r="D841" s="42" t="s">
        <v>89</v>
      </c>
      <c r="E841" s="43">
        <v>196534000</v>
      </c>
      <c r="F841" s="43">
        <f>C841-G841</f>
        <v>56781000</v>
      </c>
      <c r="G841" s="43">
        <f>196534000-10143000-4549000-3378000-6445000-8304000-8580000-9251000-6131000</f>
        <v>139753000</v>
      </c>
      <c r="H841" s="44">
        <v>100</v>
      </c>
      <c r="I841" s="28"/>
      <c r="J841" s="29">
        <v>33</v>
      </c>
      <c r="K841" s="30"/>
      <c r="L841" s="31"/>
    </row>
    <row r="842" spans="1:12" ht="17.25" thickBot="1" x14ac:dyDescent="0.3">
      <c r="A842" s="42"/>
      <c r="B842" s="42" t="s">
        <v>904</v>
      </c>
      <c r="C842" s="43">
        <v>147901000</v>
      </c>
      <c r="D842" s="42" t="s">
        <v>89</v>
      </c>
      <c r="E842" s="43">
        <v>147901000</v>
      </c>
      <c r="F842" s="43">
        <f>C842-G842</f>
        <v>0</v>
      </c>
      <c r="G842" s="43">
        <v>147901000</v>
      </c>
      <c r="H842" s="44">
        <v>100</v>
      </c>
      <c r="I842" s="28"/>
      <c r="J842" s="29">
        <v>34</v>
      </c>
      <c r="K842" s="30"/>
      <c r="L842" s="31"/>
    </row>
    <row r="843" spans="1:12" ht="17.25" thickBot="1" x14ac:dyDescent="0.3">
      <c r="A843" s="42"/>
      <c r="B843" s="42" t="s">
        <v>905</v>
      </c>
      <c r="C843" s="43">
        <v>149000000</v>
      </c>
      <c r="D843" s="42" t="s">
        <v>89</v>
      </c>
      <c r="E843" s="43">
        <v>149000000</v>
      </c>
      <c r="F843" s="43">
        <f>C843-G843</f>
        <v>0</v>
      </c>
      <c r="G843" s="43">
        <v>149000000</v>
      </c>
      <c r="H843" s="44">
        <v>100</v>
      </c>
      <c r="I843" s="28"/>
      <c r="J843" s="29"/>
      <c r="K843" s="30"/>
      <c r="L843" s="31"/>
    </row>
    <row r="844" spans="1:12" s="75" customFormat="1" ht="17.25" thickBot="1" x14ac:dyDescent="0.3">
      <c r="A844" s="42"/>
      <c r="B844" s="42" t="s">
        <v>906</v>
      </c>
      <c r="C844" s="43">
        <v>196871000</v>
      </c>
      <c r="D844" s="42" t="s">
        <v>89</v>
      </c>
      <c r="E844" s="43">
        <v>196871000</v>
      </c>
      <c r="F844" s="43">
        <f>C844-G844</f>
        <v>1363000</v>
      </c>
      <c r="G844" s="43">
        <f>196871000-1363000</f>
        <v>195508000</v>
      </c>
      <c r="H844" s="44">
        <v>100</v>
      </c>
      <c r="I844" s="28"/>
      <c r="J844" s="29">
        <v>35</v>
      </c>
      <c r="K844" s="30"/>
      <c r="L844" s="31"/>
    </row>
    <row r="845" spans="1:12" ht="17.25" thickBot="1" x14ac:dyDescent="0.3">
      <c r="A845" s="42"/>
      <c r="B845" s="42" t="s">
        <v>907</v>
      </c>
      <c r="C845" s="43">
        <v>196803000</v>
      </c>
      <c r="D845" s="42" t="s">
        <v>89</v>
      </c>
      <c r="E845" s="43">
        <v>196803000</v>
      </c>
      <c r="F845" s="43">
        <f>C845-G845</f>
        <v>0</v>
      </c>
      <c r="G845" s="43">
        <v>196803000</v>
      </c>
      <c r="H845" s="44">
        <f>G845/C845*100</f>
        <v>100</v>
      </c>
      <c r="I845" s="28"/>
      <c r="J845" s="29"/>
      <c r="K845" s="30"/>
      <c r="L845" s="31"/>
    </row>
    <row r="846" spans="1:12" ht="17.25" thickBot="1" x14ac:dyDescent="0.3">
      <c r="A846" s="42"/>
      <c r="B846" s="42" t="s">
        <v>908</v>
      </c>
      <c r="C846" s="43">
        <v>148629000</v>
      </c>
      <c r="D846" s="42" t="s">
        <v>89</v>
      </c>
      <c r="E846" s="43">
        <v>148629000</v>
      </c>
      <c r="F846" s="43">
        <f>C846-G846</f>
        <v>0</v>
      </c>
      <c r="G846" s="43">
        <v>148629000</v>
      </c>
      <c r="H846" s="44">
        <v>100</v>
      </c>
      <c r="I846" s="28"/>
      <c r="J846" s="29"/>
      <c r="K846" s="30"/>
      <c r="L846" s="31"/>
    </row>
    <row r="847" spans="1:12" s="75" customFormat="1" ht="17.25" thickBot="1" x14ac:dyDescent="0.3">
      <c r="A847" s="42"/>
      <c r="B847" s="42" t="s">
        <v>909</v>
      </c>
      <c r="C847" s="43">
        <v>196581000</v>
      </c>
      <c r="D847" s="42" t="s">
        <v>89</v>
      </c>
      <c r="E847" s="43">
        <v>196581000</v>
      </c>
      <c r="F847" s="43">
        <f>C847-G847</f>
        <v>3223000</v>
      </c>
      <c r="G847" s="43">
        <f>196581000-1410000-1813000</f>
        <v>193358000</v>
      </c>
      <c r="H847" s="44">
        <v>100</v>
      </c>
      <c r="I847" s="28"/>
      <c r="J847" s="29">
        <v>36</v>
      </c>
      <c r="K847" s="30"/>
      <c r="L847" s="31"/>
    </row>
    <row r="848" spans="1:12" ht="17.25" thickBot="1" x14ac:dyDescent="0.3">
      <c r="A848" s="42"/>
      <c r="B848" s="42" t="s">
        <v>910</v>
      </c>
      <c r="C848" s="43">
        <v>97902000</v>
      </c>
      <c r="D848" s="42" t="s">
        <v>89</v>
      </c>
      <c r="E848" s="43">
        <v>97902000</v>
      </c>
      <c r="F848" s="43">
        <f>C848-G848</f>
        <v>0</v>
      </c>
      <c r="G848" s="43">
        <v>97902000</v>
      </c>
      <c r="H848" s="44">
        <v>100</v>
      </c>
      <c r="I848" s="28"/>
      <c r="J848" s="29"/>
      <c r="K848" s="30"/>
      <c r="L848" s="31"/>
    </row>
    <row r="849" spans="1:12" ht="17.25" thickBot="1" x14ac:dyDescent="0.3">
      <c r="A849" s="42"/>
      <c r="B849" s="42" t="s">
        <v>911</v>
      </c>
      <c r="C849" s="43">
        <v>196692000</v>
      </c>
      <c r="D849" s="42" t="s">
        <v>89</v>
      </c>
      <c r="E849" s="43">
        <v>196692000</v>
      </c>
      <c r="F849" s="43">
        <f>C849-G849</f>
        <v>0</v>
      </c>
      <c r="G849" s="43">
        <v>196692000</v>
      </c>
      <c r="H849" s="44">
        <f>G849/C849*100</f>
        <v>100</v>
      </c>
      <c r="I849" s="28"/>
      <c r="J849" s="29"/>
      <c r="K849" s="30"/>
      <c r="L849" s="31"/>
    </row>
    <row r="850" spans="1:12" ht="17.25" thickBot="1" x14ac:dyDescent="0.3">
      <c r="A850" s="42"/>
      <c r="B850" s="42" t="s">
        <v>912</v>
      </c>
      <c r="C850" s="43">
        <v>147297000</v>
      </c>
      <c r="D850" s="42" t="s">
        <v>89</v>
      </c>
      <c r="E850" s="43">
        <v>147297000</v>
      </c>
      <c r="F850" s="43">
        <f>C850-G850</f>
        <v>0</v>
      </c>
      <c r="G850" s="43">
        <v>147297000</v>
      </c>
      <c r="H850" s="44">
        <v>100</v>
      </c>
      <c r="I850" s="28"/>
      <c r="J850" s="29">
        <v>37</v>
      </c>
      <c r="K850" s="30"/>
      <c r="L850" s="31"/>
    </row>
    <row r="851" spans="1:12" ht="17.25" thickBot="1" x14ac:dyDescent="0.3">
      <c r="A851" s="42"/>
      <c r="B851" s="42" t="s">
        <v>913</v>
      </c>
      <c r="C851" s="43">
        <v>196914000</v>
      </c>
      <c r="D851" s="42" t="s">
        <v>89</v>
      </c>
      <c r="E851" s="43">
        <v>196914000</v>
      </c>
      <c r="F851" s="43">
        <f>C851-G851</f>
        <v>0</v>
      </c>
      <c r="G851" s="43">
        <v>196914000</v>
      </c>
      <c r="H851" s="44">
        <v>100</v>
      </c>
      <c r="I851" s="28"/>
      <c r="J851" s="29">
        <v>38</v>
      </c>
      <c r="K851" s="30"/>
      <c r="L851" s="31"/>
    </row>
    <row r="852" spans="1:12" ht="17.25" thickBot="1" x14ac:dyDescent="0.3">
      <c r="A852" s="42"/>
      <c r="B852" s="42" t="s">
        <v>914</v>
      </c>
      <c r="C852" s="43">
        <v>147186000</v>
      </c>
      <c r="D852" s="42" t="s">
        <v>89</v>
      </c>
      <c r="E852" s="43">
        <v>147186000</v>
      </c>
      <c r="F852" s="43">
        <f>C852-G852</f>
        <v>0</v>
      </c>
      <c r="G852" s="43">
        <v>147186000</v>
      </c>
      <c r="H852" s="44">
        <v>100</v>
      </c>
      <c r="I852" s="28"/>
      <c r="J852" s="29"/>
      <c r="K852" s="30"/>
      <c r="L852" s="31"/>
    </row>
    <row r="853" spans="1:12" ht="17.25" thickBot="1" x14ac:dyDescent="0.3">
      <c r="A853" s="42"/>
      <c r="B853" s="42" t="s">
        <v>915</v>
      </c>
      <c r="C853" s="43">
        <v>146742000</v>
      </c>
      <c r="D853" s="42" t="s">
        <v>89</v>
      </c>
      <c r="E853" s="43">
        <v>146742000</v>
      </c>
      <c r="F853" s="43">
        <f>C853-G853</f>
        <v>0</v>
      </c>
      <c r="G853" s="43">
        <v>146742000</v>
      </c>
      <c r="H853" s="44">
        <v>100</v>
      </c>
      <c r="I853" s="28"/>
      <c r="J853" s="29">
        <v>39</v>
      </c>
      <c r="K853" s="30"/>
      <c r="L853" s="31"/>
    </row>
    <row r="854" spans="1:12" ht="17.25" thickBot="1" x14ac:dyDescent="0.3">
      <c r="A854" s="42"/>
      <c r="B854" s="42" t="s">
        <v>916</v>
      </c>
      <c r="C854" s="43">
        <v>147852000</v>
      </c>
      <c r="D854" s="42" t="s">
        <v>89</v>
      </c>
      <c r="E854" s="43">
        <v>147852000</v>
      </c>
      <c r="F854" s="43">
        <f>C854-G854</f>
        <v>0</v>
      </c>
      <c r="G854" s="43">
        <v>147852000</v>
      </c>
      <c r="H854" s="44">
        <f>G854/C854*100</f>
        <v>100</v>
      </c>
      <c r="I854" s="28"/>
      <c r="J854" s="29">
        <f>J855-G855</f>
        <v>-47</v>
      </c>
      <c r="K854" s="30"/>
      <c r="L854" s="31"/>
    </row>
    <row r="855" spans="1:12" ht="17.25" thickBot="1" x14ac:dyDescent="0.3">
      <c r="A855" s="42"/>
      <c r="B855" s="42" t="s">
        <v>917</v>
      </c>
      <c r="C855" s="43">
        <f>363975000+40000</f>
        <v>364015000</v>
      </c>
      <c r="D855" s="42" t="s">
        <v>19</v>
      </c>
      <c r="E855" s="43">
        <v>0</v>
      </c>
      <c r="F855" s="43">
        <f>C855-G855</f>
        <v>14743095</v>
      </c>
      <c r="G855" s="43">
        <v>349271905</v>
      </c>
      <c r="H855" s="44">
        <f>G855/C855*100</f>
        <v>95.949866076947373</v>
      </c>
      <c r="I855" s="28"/>
      <c r="J855" s="29">
        <f>21670000+127490758+54067000+146044100</f>
        <v>349271858</v>
      </c>
      <c r="K855" s="30"/>
      <c r="L855" s="31"/>
    </row>
    <row r="856" spans="1:12" ht="17.25" thickBot="1" x14ac:dyDescent="0.3">
      <c r="A856" s="42"/>
      <c r="B856" s="42" t="s">
        <v>918</v>
      </c>
      <c r="C856" s="43">
        <v>490000000</v>
      </c>
      <c r="D856" s="42" t="s">
        <v>50</v>
      </c>
      <c r="E856" s="43">
        <v>490000000</v>
      </c>
      <c r="F856" s="43">
        <f>C856-G856</f>
        <v>0</v>
      </c>
      <c r="G856" s="43">
        <v>490000000</v>
      </c>
      <c r="H856" s="44">
        <v>100</v>
      </c>
      <c r="I856" s="28"/>
      <c r="J856" s="29">
        <v>40</v>
      </c>
      <c r="K856" s="30"/>
      <c r="L856" s="31"/>
    </row>
    <row r="857" spans="1:12" s="75" customFormat="1" ht="17.25" thickBot="1" x14ac:dyDescent="0.3">
      <c r="A857" s="42"/>
      <c r="B857" s="42" t="s">
        <v>919</v>
      </c>
      <c r="C857" s="43">
        <v>483307900</v>
      </c>
      <c r="D857" s="42" t="s">
        <v>89</v>
      </c>
      <c r="E857" s="43">
        <v>483307900</v>
      </c>
      <c r="F857" s="43">
        <f>C857-G857</f>
        <v>1250000</v>
      </c>
      <c r="G857" s="43">
        <f>483307900-1250000</f>
        <v>482057900</v>
      </c>
      <c r="H857" s="44">
        <v>100</v>
      </c>
      <c r="I857" s="28"/>
      <c r="J857" s="29">
        <v>41</v>
      </c>
      <c r="K857" s="30"/>
      <c r="L857" s="31"/>
    </row>
    <row r="858" spans="1:12" ht="17.25" thickBot="1" x14ac:dyDescent="0.3">
      <c r="A858" s="42"/>
      <c r="B858" s="42" t="s">
        <v>920</v>
      </c>
      <c r="C858" s="43">
        <v>297820000</v>
      </c>
      <c r="D858" s="42" t="s">
        <v>89</v>
      </c>
      <c r="E858" s="43">
        <v>297820000</v>
      </c>
      <c r="F858" s="43">
        <f>C858-G858</f>
        <v>0</v>
      </c>
      <c r="G858" s="43">
        <v>297820000</v>
      </c>
      <c r="H858" s="44">
        <v>100</v>
      </c>
      <c r="I858" s="28"/>
      <c r="J858" s="29"/>
      <c r="K858" s="30"/>
      <c r="L858" s="31"/>
    </row>
    <row r="859" spans="1:12" ht="17.25" thickBot="1" x14ac:dyDescent="0.3">
      <c r="A859" s="42"/>
      <c r="B859" s="42" t="s">
        <v>921</v>
      </c>
      <c r="C859" s="43">
        <v>489289300</v>
      </c>
      <c r="D859" s="42" t="s">
        <v>89</v>
      </c>
      <c r="E859" s="43">
        <v>489289300</v>
      </c>
      <c r="F859" s="43">
        <f>C859-G859</f>
        <v>0</v>
      </c>
      <c r="G859" s="43">
        <v>489289300</v>
      </c>
      <c r="H859" s="44">
        <v>100</v>
      </c>
      <c r="I859" s="28"/>
      <c r="J859" s="29">
        <v>42</v>
      </c>
      <c r="K859" s="30"/>
      <c r="L859" s="31"/>
    </row>
    <row r="860" spans="1:12" ht="17.25" thickBot="1" x14ac:dyDescent="0.3">
      <c r="A860" s="42"/>
      <c r="B860" s="42" t="s">
        <v>922</v>
      </c>
      <c r="C860" s="43">
        <v>488354000</v>
      </c>
      <c r="D860" s="42" t="s">
        <v>89</v>
      </c>
      <c r="E860" s="43">
        <v>488354000</v>
      </c>
      <c r="F860" s="43">
        <f>C860-G860</f>
        <v>0</v>
      </c>
      <c r="G860" s="43">
        <v>488354000</v>
      </c>
      <c r="H860" s="44">
        <v>100</v>
      </c>
      <c r="I860" s="28"/>
      <c r="J860" s="29"/>
      <c r="K860" s="30"/>
      <c r="L860" s="31"/>
    </row>
    <row r="861" spans="1:12" ht="17.25" thickBot="1" x14ac:dyDescent="0.3">
      <c r="A861" s="42"/>
      <c r="B861" s="42" t="s">
        <v>923</v>
      </c>
      <c r="C861" s="43">
        <v>286380000</v>
      </c>
      <c r="D861" s="42" t="s">
        <v>89</v>
      </c>
      <c r="E861" s="43">
        <v>286380000</v>
      </c>
      <c r="F861" s="43">
        <f>C861-G861</f>
        <v>0</v>
      </c>
      <c r="G861" s="43">
        <v>286380000</v>
      </c>
      <c r="H861" s="44">
        <v>100</v>
      </c>
      <c r="I861" s="28"/>
      <c r="J861" s="29">
        <v>43</v>
      </c>
      <c r="K861" s="30"/>
      <c r="L861" s="31"/>
    </row>
    <row r="862" spans="1:12" ht="17.25" thickBot="1" x14ac:dyDescent="0.3">
      <c r="A862" s="42"/>
      <c r="B862" s="42" t="s">
        <v>924</v>
      </c>
      <c r="C862" s="43">
        <v>284226000</v>
      </c>
      <c r="D862" s="42" t="s">
        <v>89</v>
      </c>
      <c r="E862" s="43">
        <v>284226000</v>
      </c>
      <c r="F862" s="43">
        <f>C862-G862</f>
        <v>0</v>
      </c>
      <c r="G862" s="43">
        <v>284226000</v>
      </c>
      <c r="H862" s="44">
        <v>100</v>
      </c>
      <c r="I862" s="28"/>
      <c r="J862" s="29"/>
      <c r="K862" s="30"/>
      <c r="L862" s="31"/>
    </row>
    <row r="863" spans="1:12" ht="17.25" thickBot="1" x14ac:dyDescent="0.3">
      <c r="A863" s="42"/>
      <c r="B863" s="42" t="s">
        <v>925</v>
      </c>
      <c r="C863" s="43">
        <v>400000000</v>
      </c>
      <c r="D863" s="42" t="s">
        <v>89</v>
      </c>
      <c r="E863" s="43">
        <v>396041600</v>
      </c>
      <c r="F863" s="43">
        <f>C863-G863</f>
        <v>3958400</v>
      </c>
      <c r="G863" s="43">
        <v>396041600</v>
      </c>
      <c r="H863" s="44">
        <v>100</v>
      </c>
      <c r="I863" s="28"/>
      <c r="J863" s="29"/>
      <c r="K863" s="30"/>
      <c r="L863" s="31"/>
    </row>
    <row r="864" spans="1:12" ht="17.25" thickBot="1" x14ac:dyDescent="0.3">
      <c r="A864" s="42"/>
      <c r="B864" s="42" t="s">
        <v>926</v>
      </c>
      <c r="C864" s="43">
        <v>200000000</v>
      </c>
      <c r="D864" s="42" t="s">
        <v>89</v>
      </c>
      <c r="E864" s="43">
        <v>197435000</v>
      </c>
      <c r="F864" s="43">
        <f>C864-G864</f>
        <v>2565000</v>
      </c>
      <c r="G864" s="43">
        <v>197435000</v>
      </c>
      <c r="H864" s="44">
        <v>100</v>
      </c>
      <c r="I864" s="28"/>
      <c r="J864" s="29"/>
      <c r="K864" s="30"/>
      <c r="L864" s="31"/>
    </row>
    <row r="865" spans="1:12" ht="17.25" thickBot="1" x14ac:dyDescent="0.3">
      <c r="A865" s="42"/>
      <c r="B865" s="42" t="s">
        <v>927</v>
      </c>
      <c r="C865" s="43">
        <v>150000000</v>
      </c>
      <c r="D865" s="42" t="s">
        <v>89</v>
      </c>
      <c r="E865" s="43">
        <v>147520000</v>
      </c>
      <c r="F865" s="43">
        <f>C865-G865</f>
        <v>2480000</v>
      </c>
      <c r="G865" s="43">
        <v>147520000</v>
      </c>
      <c r="H865" s="44">
        <v>100</v>
      </c>
      <c r="I865" s="28"/>
      <c r="J865" s="29"/>
      <c r="K865" s="30"/>
      <c r="L865" s="31"/>
    </row>
    <row r="866" spans="1:12" ht="17.25" thickBot="1" x14ac:dyDescent="0.3">
      <c r="A866" s="42"/>
      <c r="B866" s="42" t="s">
        <v>928</v>
      </c>
      <c r="C866" s="43">
        <v>250000000</v>
      </c>
      <c r="D866" s="42" t="s">
        <v>89</v>
      </c>
      <c r="E866" s="43">
        <v>246625000</v>
      </c>
      <c r="F866" s="43">
        <f>C866-G866</f>
        <v>3375000</v>
      </c>
      <c r="G866" s="43">
        <v>246625000</v>
      </c>
      <c r="H866" s="44">
        <v>100</v>
      </c>
      <c r="I866" s="28"/>
      <c r="J866" s="29"/>
      <c r="K866" s="30"/>
      <c r="L866" s="31"/>
    </row>
    <row r="867" spans="1:12" ht="17.25" thickBot="1" x14ac:dyDescent="0.3">
      <c r="A867" s="42"/>
      <c r="B867" s="42" t="s">
        <v>929</v>
      </c>
      <c r="C867" s="43">
        <v>183977300</v>
      </c>
      <c r="D867" s="42" t="s">
        <v>89</v>
      </c>
      <c r="E867" s="43">
        <v>181402000</v>
      </c>
      <c r="F867" s="43">
        <f>C867-G867</f>
        <v>2575300</v>
      </c>
      <c r="G867" s="43">
        <v>181402000</v>
      </c>
      <c r="H867" s="44">
        <v>100</v>
      </c>
      <c r="I867" s="28"/>
      <c r="J867" s="29"/>
      <c r="K867" s="30"/>
      <c r="L867" s="31"/>
    </row>
    <row r="868" spans="1:12" ht="17.25" thickBot="1" x14ac:dyDescent="0.3">
      <c r="A868" s="42"/>
      <c r="B868" s="42" t="s">
        <v>930</v>
      </c>
      <c r="C868" s="43">
        <v>98568000</v>
      </c>
      <c r="D868" s="42" t="s">
        <v>89</v>
      </c>
      <c r="E868" s="43">
        <v>98568000</v>
      </c>
      <c r="F868" s="43">
        <f>C868-G868</f>
        <v>0</v>
      </c>
      <c r="G868" s="43">
        <v>98568000</v>
      </c>
      <c r="H868" s="44">
        <v>100</v>
      </c>
      <c r="I868" s="28"/>
      <c r="J868" s="29"/>
      <c r="K868" s="30"/>
      <c r="L868" s="31"/>
    </row>
    <row r="869" spans="1:12" ht="17.25" thickBot="1" x14ac:dyDescent="0.3">
      <c r="A869" s="42"/>
      <c r="B869" s="42" t="s">
        <v>931</v>
      </c>
      <c r="C869" s="43">
        <v>98401500</v>
      </c>
      <c r="D869" s="42" t="s">
        <v>89</v>
      </c>
      <c r="E869" s="43">
        <v>98401500</v>
      </c>
      <c r="F869" s="43">
        <f>C869-G869</f>
        <v>0</v>
      </c>
      <c r="G869" s="43">
        <v>98401500</v>
      </c>
      <c r="H869" s="44">
        <v>100</v>
      </c>
      <c r="I869" s="28"/>
      <c r="J869" s="29"/>
      <c r="K869" s="30"/>
      <c r="L869" s="31"/>
    </row>
    <row r="870" spans="1:12" ht="17.25" thickBot="1" x14ac:dyDescent="0.3">
      <c r="A870" s="23" t="s">
        <v>932</v>
      </c>
      <c r="B870" s="24" t="s">
        <v>933</v>
      </c>
      <c r="C870" s="25">
        <f>SUM(C871,C880,C889)</f>
        <v>1087500000</v>
      </c>
      <c r="D870" s="23"/>
      <c r="E870" s="26"/>
      <c r="F870" s="25">
        <f>C870-G870</f>
        <v>32997748</v>
      </c>
      <c r="G870" s="25">
        <f>SUM(G871,G880,G889)</f>
        <v>1054502252</v>
      </c>
      <c r="H870" s="27">
        <f>AVERAGE(H871,H880,H889)</f>
        <v>100</v>
      </c>
      <c r="I870" s="28"/>
      <c r="J870" s="29"/>
      <c r="K870" s="30"/>
      <c r="L870" s="31"/>
    </row>
    <row r="871" spans="1:12" ht="17.25" thickBot="1" x14ac:dyDescent="0.3">
      <c r="A871" s="32" t="s">
        <v>934</v>
      </c>
      <c r="B871" s="32" t="s">
        <v>935</v>
      </c>
      <c r="C871" s="33">
        <f>SUM(C872,C876,C878)</f>
        <v>303904000</v>
      </c>
      <c r="D871" s="34"/>
      <c r="E871" s="35"/>
      <c r="F871" s="33">
        <f>C871-G871</f>
        <v>3501465</v>
      </c>
      <c r="G871" s="33">
        <f>SUM(G872,G876,G878)</f>
        <v>300402535</v>
      </c>
      <c r="H871" s="76">
        <f>AVERAGE(H872,H876,H878)</f>
        <v>100</v>
      </c>
      <c r="I871" s="28"/>
      <c r="J871" s="29"/>
      <c r="K871" s="30"/>
      <c r="L871" s="31"/>
    </row>
    <row r="872" spans="1:12" ht="27.75" thickBot="1" x14ac:dyDescent="0.3">
      <c r="A872" s="37" t="s">
        <v>936</v>
      </c>
      <c r="B872" s="37" t="s">
        <v>937</v>
      </c>
      <c r="C872" s="38">
        <f>SUM(C873:C875)</f>
        <v>112363000</v>
      </c>
      <c r="D872" s="39"/>
      <c r="E872" s="40"/>
      <c r="F872" s="38">
        <f>C872-G872</f>
        <v>999985</v>
      </c>
      <c r="G872" s="40">
        <f>SUM(G873:G875)</f>
        <v>111363015</v>
      </c>
      <c r="H872" s="41">
        <f>AVERAGE(H873:H874)</f>
        <v>100</v>
      </c>
      <c r="I872" s="28"/>
      <c r="J872" s="29"/>
      <c r="K872" s="30"/>
      <c r="L872" s="31"/>
    </row>
    <row r="873" spans="1:12" ht="17.25" thickBot="1" x14ac:dyDescent="0.3">
      <c r="A873" s="42"/>
      <c r="B873" s="42" t="s">
        <v>938</v>
      </c>
      <c r="C873" s="43">
        <v>46980000</v>
      </c>
      <c r="D873" s="42" t="s">
        <v>19</v>
      </c>
      <c r="E873" s="43">
        <v>0</v>
      </c>
      <c r="F873" s="43">
        <f>C873-G873</f>
        <v>580000</v>
      </c>
      <c r="G873" s="43">
        <v>46400000</v>
      </c>
      <c r="H873" s="44">
        <v>100</v>
      </c>
      <c r="I873" s="28"/>
      <c r="J873" s="29"/>
      <c r="K873" s="30"/>
      <c r="L873" s="31"/>
    </row>
    <row r="874" spans="1:12" ht="17.25" thickBot="1" x14ac:dyDescent="0.3">
      <c r="A874" s="42"/>
      <c r="B874" s="42" t="s">
        <v>73</v>
      </c>
      <c r="C874" s="43">
        <v>55987000</v>
      </c>
      <c r="D874" s="42" t="s">
        <v>19</v>
      </c>
      <c r="E874" s="43">
        <v>0</v>
      </c>
      <c r="F874" s="43">
        <f>C874-G874</f>
        <v>23985</v>
      </c>
      <c r="G874" s="43">
        <v>55963015</v>
      </c>
      <c r="H874" s="44">
        <v>100</v>
      </c>
      <c r="I874" s="28"/>
      <c r="J874" s="29"/>
      <c r="K874" s="30"/>
      <c r="L874" s="31"/>
    </row>
    <row r="875" spans="1:12" ht="17.25" thickBot="1" x14ac:dyDescent="0.3">
      <c r="A875" s="42"/>
      <c r="B875" s="42" t="s">
        <v>939</v>
      </c>
      <c r="C875" s="43">
        <v>9396000</v>
      </c>
      <c r="D875" s="42" t="s">
        <v>19</v>
      </c>
      <c r="E875" s="43">
        <v>0</v>
      </c>
      <c r="F875" s="43">
        <v>9396000</v>
      </c>
      <c r="G875" s="43">
        <v>9000000</v>
      </c>
      <c r="H875" s="44">
        <v>100</v>
      </c>
      <c r="I875" s="28"/>
      <c r="J875" s="29"/>
      <c r="K875" s="30"/>
      <c r="L875" s="31"/>
    </row>
    <row r="876" spans="1:12" ht="27.75" thickBot="1" x14ac:dyDescent="0.3">
      <c r="A876" s="37" t="s">
        <v>940</v>
      </c>
      <c r="B876" s="37" t="s">
        <v>941</v>
      </c>
      <c r="C876" s="38">
        <v>38700000</v>
      </c>
      <c r="D876" s="39"/>
      <c r="E876" s="40"/>
      <c r="F876" s="38">
        <f>C876-G876</f>
        <v>161555</v>
      </c>
      <c r="G876" s="40">
        <f>SUM(G877)</f>
        <v>38538445</v>
      </c>
      <c r="H876" s="41">
        <f>AVERAGE(H877)</f>
        <v>100</v>
      </c>
      <c r="I876" s="28"/>
      <c r="J876" s="29"/>
      <c r="K876" s="30"/>
      <c r="L876" s="31"/>
    </row>
    <row r="877" spans="1:12" ht="17.25" thickBot="1" x14ac:dyDescent="0.3">
      <c r="A877" s="42"/>
      <c r="B877" s="42" t="s">
        <v>18</v>
      </c>
      <c r="C877" s="43">
        <v>38700000</v>
      </c>
      <c r="D877" s="42" t="s">
        <v>19</v>
      </c>
      <c r="E877" s="43">
        <v>0</v>
      </c>
      <c r="F877" s="43">
        <f>C877-G877</f>
        <v>161555</v>
      </c>
      <c r="G877" s="43">
        <v>38538445</v>
      </c>
      <c r="H877" s="44">
        <v>100</v>
      </c>
      <c r="I877" s="28"/>
      <c r="J877" s="29"/>
      <c r="K877" s="30"/>
      <c r="L877" s="31"/>
    </row>
    <row r="878" spans="1:12" ht="17.25" thickBot="1" x14ac:dyDescent="0.3">
      <c r="A878" s="37" t="s">
        <v>942</v>
      </c>
      <c r="B878" s="37" t="s">
        <v>943</v>
      </c>
      <c r="C878" s="38">
        <v>152841000</v>
      </c>
      <c r="D878" s="39"/>
      <c r="E878" s="40"/>
      <c r="F878" s="38">
        <f>C878-G878</f>
        <v>2339925</v>
      </c>
      <c r="G878" s="40">
        <f>SUM(G879)</f>
        <v>150501075</v>
      </c>
      <c r="H878" s="41">
        <f>AVERAGE(H879)</f>
        <v>100</v>
      </c>
      <c r="I878" s="28"/>
      <c r="J878" s="29"/>
      <c r="K878" s="30"/>
      <c r="L878" s="31"/>
    </row>
    <row r="879" spans="1:12" ht="17.25" thickBot="1" x14ac:dyDescent="0.3">
      <c r="A879" s="42"/>
      <c r="B879" s="42" t="s">
        <v>18</v>
      </c>
      <c r="C879" s="43">
        <v>152841000</v>
      </c>
      <c r="D879" s="42" t="s">
        <v>19</v>
      </c>
      <c r="E879" s="43">
        <v>0</v>
      </c>
      <c r="F879" s="43">
        <f>C879-G879</f>
        <v>2339925</v>
      </c>
      <c r="G879" s="43">
        <v>150501075</v>
      </c>
      <c r="H879" s="44">
        <v>100</v>
      </c>
      <c r="I879" s="28"/>
      <c r="J879" s="29"/>
      <c r="K879" s="30"/>
      <c r="L879" s="31"/>
    </row>
    <row r="880" spans="1:12" ht="17.25" thickBot="1" x14ac:dyDescent="0.3">
      <c r="A880" s="32" t="s">
        <v>944</v>
      </c>
      <c r="B880" s="32" t="s">
        <v>945</v>
      </c>
      <c r="C880" s="33">
        <v>446933000</v>
      </c>
      <c r="D880" s="34"/>
      <c r="E880" s="35"/>
      <c r="F880" s="33">
        <f>C880-G880</f>
        <v>17339920</v>
      </c>
      <c r="G880" s="33">
        <f>SUM(G881)</f>
        <v>429593080</v>
      </c>
      <c r="H880" s="76">
        <f>H881</f>
        <v>100</v>
      </c>
      <c r="I880" s="28"/>
      <c r="J880" s="29"/>
      <c r="K880" s="30"/>
      <c r="L880" s="31"/>
    </row>
    <row r="881" spans="1:12" ht="17.25" thickBot="1" x14ac:dyDescent="0.3">
      <c r="A881" s="37" t="s">
        <v>946</v>
      </c>
      <c r="B881" s="37" t="s">
        <v>947</v>
      </c>
      <c r="C881" s="38">
        <v>446933000</v>
      </c>
      <c r="D881" s="39"/>
      <c r="E881" s="40"/>
      <c r="F881" s="38">
        <f>C881-G881</f>
        <v>17339920</v>
      </c>
      <c r="G881" s="40">
        <f>SUM(G882:G888)</f>
        <v>429593080</v>
      </c>
      <c r="H881" s="41">
        <f>AVERAGE(H882:H887)</f>
        <v>100</v>
      </c>
      <c r="I881" s="28"/>
      <c r="J881" s="29"/>
      <c r="K881" s="30"/>
      <c r="L881" s="31"/>
    </row>
    <row r="882" spans="1:12" ht="17.25" thickBot="1" x14ac:dyDescent="0.3">
      <c r="A882" s="42"/>
      <c r="B882" s="42" t="s">
        <v>948</v>
      </c>
      <c r="C882" s="43">
        <v>52200000</v>
      </c>
      <c r="D882" s="42" t="s">
        <v>194</v>
      </c>
      <c r="E882" s="43">
        <v>51337500</v>
      </c>
      <c r="F882" s="43">
        <f>C882-G882</f>
        <v>862500</v>
      </c>
      <c r="G882" s="43">
        <v>51337500</v>
      </c>
      <c r="H882" s="44">
        <v>100</v>
      </c>
      <c r="I882" s="28"/>
      <c r="J882" s="29"/>
      <c r="K882" s="30"/>
      <c r="L882" s="31"/>
    </row>
    <row r="883" spans="1:12" ht="17.25" thickBot="1" x14ac:dyDescent="0.3">
      <c r="A883" s="42"/>
      <c r="B883" s="42" t="s">
        <v>949</v>
      </c>
      <c r="C883" s="43">
        <v>52200000</v>
      </c>
      <c r="D883" s="42" t="s">
        <v>194</v>
      </c>
      <c r="E883" s="43">
        <v>51198750</v>
      </c>
      <c r="F883" s="43">
        <f>C883-G883</f>
        <v>1001250</v>
      </c>
      <c r="G883" s="43">
        <v>51198750</v>
      </c>
      <c r="H883" s="44">
        <v>100</v>
      </c>
      <c r="I883" s="28"/>
      <c r="J883" s="29"/>
      <c r="K883" s="30"/>
      <c r="L883" s="31"/>
    </row>
    <row r="884" spans="1:12" ht="17.25" thickBot="1" x14ac:dyDescent="0.3">
      <c r="A884" s="42"/>
      <c r="B884" s="42" t="s">
        <v>950</v>
      </c>
      <c r="C884" s="43">
        <v>52200000</v>
      </c>
      <c r="D884" s="42" t="s">
        <v>194</v>
      </c>
      <c r="E884" s="43">
        <v>51504000</v>
      </c>
      <c r="F884" s="43">
        <f>C884-G884</f>
        <v>696000</v>
      </c>
      <c r="G884" s="43">
        <v>51504000</v>
      </c>
      <c r="H884" s="44">
        <v>100</v>
      </c>
      <c r="I884" s="28"/>
      <c r="J884" s="29"/>
      <c r="K884" s="30"/>
      <c r="L884" s="31"/>
    </row>
    <row r="885" spans="1:12" ht="17.25" thickBot="1" x14ac:dyDescent="0.3">
      <c r="A885" s="42"/>
      <c r="B885" s="42" t="s">
        <v>951</v>
      </c>
      <c r="C885" s="43">
        <v>52200000</v>
      </c>
      <c r="D885" s="42" t="s">
        <v>194</v>
      </c>
      <c r="E885" s="43">
        <v>51282000</v>
      </c>
      <c r="F885" s="43">
        <f>C885-G885</f>
        <v>918000</v>
      </c>
      <c r="G885" s="43">
        <v>51282000</v>
      </c>
      <c r="H885" s="44">
        <v>100</v>
      </c>
      <c r="I885" s="28"/>
      <c r="J885" s="29"/>
      <c r="K885" s="30"/>
      <c r="L885" s="31"/>
    </row>
    <row r="886" spans="1:12" ht="17.25" thickBot="1" x14ac:dyDescent="0.3">
      <c r="A886" s="42"/>
      <c r="B886" s="42" t="s">
        <v>952</v>
      </c>
      <c r="C886" s="43">
        <v>52200000</v>
      </c>
      <c r="D886" s="42" t="s">
        <v>194</v>
      </c>
      <c r="E886" s="43">
        <v>51615000</v>
      </c>
      <c r="F886" s="43">
        <f>C886-G886</f>
        <v>585000</v>
      </c>
      <c r="G886" s="43">
        <v>51615000</v>
      </c>
      <c r="H886" s="44">
        <v>100</v>
      </c>
      <c r="I886" s="28"/>
      <c r="J886" s="29"/>
      <c r="K886" s="30"/>
      <c r="L886" s="31"/>
    </row>
    <row r="887" spans="1:12" ht="17.25" thickBot="1" x14ac:dyDescent="0.3">
      <c r="A887" s="42"/>
      <c r="B887" s="42" t="s">
        <v>953</v>
      </c>
      <c r="C887" s="43">
        <v>52200000</v>
      </c>
      <c r="D887" s="42" t="s">
        <v>194</v>
      </c>
      <c r="E887" s="43">
        <v>50949000</v>
      </c>
      <c r="F887" s="43">
        <f>C887-G887</f>
        <v>1251000</v>
      </c>
      <c r="G887" s="43">
        <v>50949000</v>
      </c>
      <c r="H887" s="44">
        <v>100</v>
      </c>
      <c r="I887" s="28" t="s">
        <v>954</v>
      </c>
      <c r="J887" s="29" t="s">
        <v>955</v>
      </c>
      <c r="K887" s="30"/>
      <c r="L887" s="31"/>
    </row>
    <row r="888" spans="1:12" ht="17.25" thickBot="1" x14ac:dyDescent="0.3">
      <c r="A888" s="42"/>
      <c r="B888" s="42" t="s">
        <v>233</v>
      </c>
      <c r="C888" s="43">
        <v>133733000</v>
      </c>
      <c r="D888" s="42" t="s">
        <v>19</v>
      </c>
      <c r="E888" s="43">
        <v>0</v>
      </c>
      <c r="F888" s="43">
        <f>C888-G888</f>
        <v>12026170</v>
      </c>
      <c r="G888" s="43">
        <f>127786830-6080000</f>
        <v>121706830</v>
      </c>
      <c r="H888" s="44">
        <f>G888/C888*100</f>
        <v>91.007328034217437</v>
      </c>
      <c r="I888" s="28"/>
      <c r="J888" s="29"/>
      <c r="K888" s="30"/>
      <c r="L888" s="31"/>
    </row>
    <row r="889" spans="1:12" ht="27.75" thickBot="1" x14ac:dyDescent="0.3">
      <c r="A889" s="32" t="s">
        <v>956</v>
      </c>
      <c r="B889" s="32" t="s">
        <v>957</v>
      </c>
      <c r="C889" s="33">
        <v>336663000</v>
      </c>
      <c r="D889" s="34"/>
      <c r="E889" s="35"/>
      <c r="F889" s="33">
        <f>C889-G889</f>
        <v>12156363</v>
      </c>
      <c r="G889" s="33">
        <f>SUM(G893,G890)</f>
        <v>324506637</v>
      </c>
      <c r="H889" s="76">
        <f>AVERAGE(H890,H893)</f>
        <v>100</v>
      </c>
      <c r="I889" s="28"/>
      <c r="J889" s="29"/>
      <c r="K889" s="30"/>
      <c r="L889" s="31"/>
    </row>
    <row r="890" spans="1:12" ht="27.75" thickBot="1" x14ac:dyDescent="0.3">
      <c r="A890" s="37" t="s">
        <v>958</v>
      </c>
      <c r="B890" s="37" t="s">
        <v>959</v>
      </c>
      <c r="C890" s="38">
        <v>321826000</v>
      </c>
      <c r="D890" s="39"/>
      <c r="E890" s="40"/>
      <c r="F890" s="38">
        <f>C890-G890</f>
        <v>11706163</v>
      </c>
      <c r="G890" s="40">
        <f>SUM(G891:G892)</f>
        <v>310119837</v>
      </c>
      <c r="H890" s="41">
        <f>AVERAGE(H891:H892)</f>
        <v>100</v>
      </c>
      <c r="I890" s="28"/>
      <c r="J890" s="29"/>
      <c r="K890" s="30"/>
      <c r="L890" s="31"/>
    </row>
    <row r="891" spans="1:12" ht="17.25" thickBot="1" x14ac:dyDescent="0.3">
      <c r="A891" s="42"/>
      <c r="B891" s="42" t="s">
        <v>960</v>
      </c>
      <c r="C891" s="43">
        <v>143000000</v>
      </c>
      <c r="D891" s="42" t="s">
        <v>72</v>
      </c>
      <c r="E891" s="43">
        <v>171600000</v>
      </c>
      <c r="F891" s="43">
        <f>C891-G891</f>
        <v>0</v>
      </c>
      <c r="G891" s="43">
        <f>99000000+11000000+11000000+11000000+11000000</f>
        <v>143000000</v>
      </c>
      <c r="H891" s="44">
        <v>100</v>
      </c>
      <c r="I891" s="28"/>
      <c r="J891" s="29"/>
      <c r="K891" s="30"/>
      <c r="L891" s="31"/>
    </row>
    <row r="892" spans="1:12" ht="17.25" thickBot="1" x14ac:dyDescent="0.3">
      <c r="A892" s="42"/>
      <c r="B892" s="42" t="s">
        <v>73</v>
      </c>
      <c r="C892" s="43">
        <v>178826000</v>
      </c>
      <c r="D892" s="42" t="s">
        <v>19</v>
      </c>
      <c r="E892" s="43">
        <v>0</v>
      </c>
      <c r="F892" s="43">
        <f>C892-G892</f>
        <v>11706163</v>
      </c>
      <c r="G892" s="43">
        <f>175669837-8550000</f>
        <v>167119837</v>
      </c>
      <c r="H892" s="44">
        <v>100</v>
      </c>
      <c r="I892" s="29">
        <f>G890-159915569</f>
        <v>150204268</v>
      </c>
      <c r="J892" s="29"/>
      <c r="K892" s="30"/>
      <c r="L892" s="31"/>
    </row>
    <row r="893" spans="1:12" ht="17.25" thickBot="1" x14ac:dyDescent="0.3">
      <c r="A893" s="37" t="s">
        <v>961</v>
      </c>
      <c r="B893" s="37" t="s">
        <v>962</v>
      </c>
      <c r="C893" s="38">
        <v>14837000</v>
      </c>
      <c r="D893" s="39"/>
      <c r="E893" s="40"/>
      <c r="F893" s="38">
        <f>C893-G893</f>
        <v>450200</v>
      </c>
      <c r="G893" s="40">
        <f>SUM(G894)</f>
        <v>14386800</v>
      </c>
      <c r="H893" s="41">
        <f>AVERAGE(H894)</f>
        <v>100</v>
      </c>
      <c r="I893" s="28"/>
      <c r="J893" s="29"/>
      <c r="K893" s="30"/>
      <c r="L893" s="31"/>
    </row>
    <row r="894" spans="1:12" ht="17.25" thickBot="1" x14ac:dyDescent="0.3">
      <c r="A894" s="42"/>
      <c r="B894" s="42" t="s">
        <v>18</v>
      </c>
      <c r="C894" s="43">
        <v>14837000</v>
      </c>
      <c r="D894" s="42" t="s">
        <v>19</v>
      </c>
      <c r="E894" s="43">
        <v>0</v>
      </c>
      <c r="F894" s="43">
        <f>C894-G894</f>
        <v>450200</v>
      </c>
      <c r="G894" s="77">
        <v>14386800</v>
      </c>
      <c r="H894" s="44">
        <v>100</v>
      </c>
      <c r="I894" s="28"/>
      <c r="J894" s="29"/>
      <c r="K894" s="30"/>
      <c r="L894" s="31"/>
    </row>
    <row r="895" spans="1:12" ht="17.25" thickBot="1" x14ac:dyDescent="0.3">
      <c r="A895" s="23" t="s">
        <v>963</v>
      </c>
      <c r="B895" s="24" t="s">
        <v>964</v>
      </c>
      <c r="C895" s="25">
        <f>SUM(C896,C911,C917)</f>
        <v>1549600000</v>
      </c>
      <c r="D895" s="23"/>
      <c r="E895" s="26"/>
      <c r="F895" s="25">
        <f>C895-G895</f>
        <v>90599431</v>
      </c>
      <c r="G895" s="25">
        <f>SUM(G896,G911,G917)</f>
        <v>1459000569</v>
      </c>
      <c r="H895" s="27">
        <f>AVERAGE(H896,H911,H917)</f>
        <v>98.191002686732574</v>
      </c>
      <c r="I895" s="28"/>
      <c r="J895" s="29"/>
      <c r="K895" s="30"/>
      <c r="L895" s="31"/>
    </row>
    <row r="896" spans="1:12" ht="27.75" thickBot="1" x14ac:dyDescent="0.3">
      <c r="A896" s="32" t="s">
        <v>965</v>
      </c>
      <c r="B896" s="32" t="s">
        <v>966</v>
      </c>
      <c r="C896" s="33">
        <f>SUM(C897)</f>
        <v>1150000000</v>
      </c>
      <c r="D896" s="34"/>
      <c r="E896" s="35"/>
      <c r="F896" s="33">
        <f>C896-G896</f>
        <v>79877479</v>
      </c>
      <c r="G896" s="33">
        <f>SUM(G897)</f>
        <v>1070122521</v>
      </c>
      <c r="H896" s="36">
        <f>H897</f>
        <v>98.088532858054322</v>
      </c>
      <c r="I896" s="28"/>
      <c r="J896" s="29"/>
      <c r="K896" s="30"/>
      <c r="L896" s="31"/>
    </row>
    <row r="897" spans="1:12" ht="17.25" thickBot="1" x14ac:dyDescent="0.3">
      <c r="A897" s="37" t="s">
        <v>967</v>
      </c>
      <c r="B897" s="37" t="s">
        <v>968</v>
      </c>
      <c r="C897" s="38">
        <v>1150000000</v>
      </c>
      <c r="D897" s="39"/>
      <c r="E897" s="40"/>
      <c r="F897" s="38">
        <f>C897-G897</f>
        <v>79877479</v>
      </c>
      <c r="G897" s="38">
        <f>SUM(G898:G910)</f>
        <v>1070122521</v>
      </c>
      <c r="H897" s="45">
        <f>AVERAGE(H898:H910)</f>
        <v>98.088532858054322</v>
      </c>
      <c r="I897" s="28"/>
      <c r="J897" s="29"/>
      <c r="K897" s="30"/>
      <c r="L897" s="31"/>
    </row>
    <row r="898" spans="1:12" ht="17.25" thickBot="1" x14ac:dyDescent="0.3">
      <c r="A898" s="42"/>
      <c r="B898" s="42" t="s">
        <v>969</v>
      </c>
      <c r="C898" s="43">
        <v>64500000</v>
      </c>
      <c r="D898" s="42" t="s">
        <v>194</v>
      </c>
      <c r="E898" s="43">
        <v>63845000</v>
      </c>
      <c r="F898" s="43">
        <f>C898-G898</f>
        <v>655000</v>
      </c>
      <c r="G898" s="43">
        <v>63845000</v>
      </c>
      <c r="H898" s="44">
        <v>100</v>
      </c>
      <c r="I898" s="28"/>
      <c r="J898" s="29"/>
      <c r="K898" s="30"/>
      <c r="L898" s="31"/>
    </row>
    <row r="899" spans="1:12" ht="17.25" thickBot="1" x14ac:dyDescent="0.3">
      <c r="A899" s="42"/>
      <c r="B899" s="42" t="s">
        <v>970</v>
      </c>
      <c r="C899" s="43">
        <v>64500000</v>
      </c>
      <c r="D899" s="42" t="s">
        <v>194</v>
      </c>
      <c r="E899" s="43">
        <v>63745000</v>
      </c>
      <c r="F899" s="43">
        <f>C899-G899</f>
        <v>755000</v>
      </c>
      <c r="G899" s="43">
        <v>63745000</v>
      </c>
      <c r="H899" s="44">
        <v>100</v>
      </c>
      <c r="I899" s="28"/>
      <c r="J899" s="29"/>
      <c r="K899" s="30"/>
      <c r="L899" s="31"/>
    </row>
    <row r="900" spans="1:12" ht="17.25" thickBot="1" x14ac:dyDescent="0.3">
      <c r="A900" s="42"/>
      <c r="B900" s="42" t="s">
        <v>971</v>
      </c>
      <c r="C900" s="43">
        <v>64500000</v>
      </c>
      <c r="D900" s="42" t="s">
        <v>194</v>
      </c>
      <c r="E900" s="43">
        <v>63825000</v>
      </c>
      <c r="F900" s="43">
        <f>C900-G900</f>
        <v>675000</v>
      </c>
      <c r="G900" s="43">
        <v>63825000</v>
      </c>
      <c r="H900" s="44">
        <v>100</v>
      </c>
      <c r="I900" s="28"/>
      <c r="J900" s="29"/>
      <c r="K900" s="30"/>
      <c r="L900" s="31"/>
    </row>
    <row r="901" spans="1:12" ht="17.25" thickBot="1" x14ac:dyDescent="0.3">
      <c r="A901" s="42"/>
      <c r="B901" s="42" t="s">
        <v>972</v>
      </c>
      <c r="C901" s="43">
        <v>64500000</v>
      </c>
      <c r="D901" s="42" t="s">
        <v>194</v>
      </c>
      <c r="E901" s="43">
        <v>61982000</v>
      </c>
      <c r="F901" s="43">
        <f>C901-G901</f>
        <v>2518000</v>
      </c>
      <c r="G901" s="43">
        <v>61982000</v>
      </c>
      <c r="H901" s="44">
        <v>100</v>
      </c>
      <c r="I901" s="28"/>
      <c r="J901" s="29"/>
      <c r="K901" s="30"/>
      <c r="L901" s="31"/>
    </row>
    <row r="902" spans="1:12" ht="17.25" thickBot="1" x14ac:dyDescent="0.3">
      <c r="A902" s="42"/>
      <c r="B902" s="42" t="s">
        <v>973</v>
      </c>
      <c r="C902" s="43">
        <v>64500000</v>
      </c>
      <c r="D902" s="42" t="s">
        <v>194</v>
      </c>
      <c r="E902" s="43">
        <v>63880000</v>
      </c>
      <c r="F902" s="43">
        <f>C902-G902</f>
        <v>620000</v>
      </c>
      <c r="G902" s="43">
        <v>63880000</v>
      </c>
      <c r="H902" s="44">
        <v>100</v>
      </c>
      <c r="I902" s="28"/>
      <c r="J902" s="29"/>
      <c r="K902" s="30"/>
      <c r="L902" s="31"/>
    </row>
    <row r="903" spans="1:12" ht="17.25" thickBot="1" x14ac:dyDescent="0.3">
      <c r="A903" s="42"/>
      <c r="B903" s="42" t="s">
        <v>974</v>
      </c>
      <c r="C903" s="43">
        <v>67600000</v>
      </c>
      <c r="D903" s="42" t="s">
        <v>194</v>
      </c>
      <c r="E903" s="43">
        <v>66877000</v>
      </c>
      <c r="F903" s="43">
        <f>C903-G903</f>
        <v>723000</v>
      </c>
      <c r="G903" s="43">
        <v>66877000</v>
      </c>
      <c r="H903" s="44">
        <v>100</v>
      </c>
      <c r="I903" s="28"/>
      <c r="J903" s="29"/>
      <c r="K903" s="30"/>
      <c r="L903" s="31"/>
    </row>
    <row r="904" spans="1:12" ht="17.25" thickBot="1" x14ac:dyDescent="0.3">
      <c r="A904" s="42"/>
      <c r="B904" s="42" t="s">
        <v>975</v>
      </c>
      <c r="C904" s="43">
        <v>67600000</v>
      </c>
      <c r="D904" s="42" t="s">
        <v>194</v>
      </c>
      <c r="E904" s="43">
        <v>66822000</v>
      </c>
      <c r="F904" s="43">
        <f>C904-G904</f>
        <v>778000</v>
      </c>
      <c r="G904" s="43">
        <v>66822000</v>
      </c>
      <c r="H904" s="44">
        <v>100</v>
      </c>
      <c r="I904" s="28"/>
      <c r="J904" s="29"/>
      <c r="K904" s="30"/>
      <c r="L904" s="31"/>
    </row>
    <row r="905" spans="1:12" ht="17.25" thickBot="1" x14ac:dyDescent="0.3">
      <c r="A905" s="42"/>
      <c r="B905" s="42" t="s">
        <v>976</v>
      </c>
      <c r="C905" s="43">
        <v>83000000</v>
      </c>
      <c r="D905" s="42" t="s">
        <v>194</v>
      </c>
      <c r="E905" s="43">
        <v>82306000</v>
      </c>
      <c r="F905" s="43">
        <f>C905-G905</f>
        <v>694000</v>
      </c>
      <c r="G905" s="43">
        <v>82306000</v>
      </c>
      <c r="H905" s="44">
        <v>100</v>
      </c>
      <c r="I905" s="28"/>
      <c r="J905" s="29"/>
      <c r="K905" s="30"/>
      <c r="L905" s="31"/>
    </row>
    <row r="906" spans="1:12" ht="17.25" thickBot="1" x14ac:dyDescent="0.3">
      <c r="A906" s="42"/>
      <c r="B906" s="42" t="s">
        <v>977</v>
      </c>
      <c r="C906" s="43">
        <v>83000000</v>
      </c>
      <c r="D906" s="42" t="s">
        <v>194</v>
      </c>
      <c r="E906" s="43">
        <v>82167000</v>
      </c>
      <c r="F906" s="43">
        <f>C906-G906</f>
        <v>833000</v>
      </c>
      <c r="G906" s="43">
        <v>82167000</v>
      </c>
      <c r="H906" s="44">
        <v>100</v>
      </c>
      <c r="I906" s="28"/>
      <c r="J906" s="29"/>
      <c r="K906" s="30"/>
      <c r="L906" s="31"/>
    </row>
    <row r="907" spans="1:12" ht="17.25" thickBot="1" x14ac:dyDescent="0.3">
      <c r="A907" s="42"/>
      <c r="B907" s="42" t="s">
        <v>978</v>
      </c>
      <c r="C907" s="43">
        <v>83000000</v>
      </c>
      <c r="D907" s="42" t="s">
        <v>194</v>
      </c>
      <c r="E907" s="43">
        <v>82112000</v>
      </c>
      <c r="F907" s="43">
        <f>C907-G907</f>
        <v>888000</v>
      </c>
      <c r="G907" s="43">
        <v>82112000</v>
      </c>
      <c r="H907" s="44">
        <v>100</v>
      </c>
      <c r="I907" s="28"/>
      <c r="J907" s="29"/>
      <c r="K907" s="30"/>
      <c r="L907" s="31"/>
    </row>
    <row r="908" spans="1:12" ht="17.25" thickBot="1" x14ac:dyDescent="0.3">
      <c r="A908" s="42"/>
      <c r="B908" s="42" t="s">
        <v>979</v>
      </c>
      <c r="C908" s="43">
        <v>83000000</v>
      </c>
      <c r="D908" s="42" t="s">
        <v>194</v>
      </c>
      <c r="E908" s="43">
        <v>82112000</v>
      </c>
      <c r="F908" s="43">
        <f>C908-G908</f>
        <v>888000</v>
      </c>
      <c r="G908" s="43">
        <v>82112000</v>
      </c>
      <c r="H908" s="44">
        <v>100</v>
      </c>
      <c r="I908" s="28"/>
      <c r="J908" s="29"/>
      <c r="K908" s="30"/>
      <c r="L908" s="31"/>
    </row>
    <row r="909" spans="1:12" ht="17.25" thickBot="1" x14ac:dyDescent="0.3">
      <c r="A909" s="42"/>
      <c r="B909" s="42" t="s">
        <v>980</v>
      </c>
      <c r="C909" s="43">
        <v>83000000</v>
      </c>
      <c r="D909" s="42" t="s">
        <v>194</v>
      </c>
      <c r="E909" s="43">
        <v>82056000</v>
      </c>
      <c r="F909" s="43">
        <f>C909-G909</f>
        <v>944000</v>
      </c>
      <c r="G909" s="43">
        <v>82056000</v>
      </c>
      <c r="H909" s="44">
        <v>100</v>
      </c>
      <c r="I909" s="28"/>
      <c r="J909" s="29"/>
      <c r="K909" s="30"/>
      <c r="L909" s="31"/>
    </row>
    <row r="910" spans="1:12" ht="17.25" thickBot="1" x14ac:dyDescent="0.3">
      <c r="A910" s="42"/>
      <c r="B910" s="42" t="s">
        <v>981</v>
      </c>
      <c r="C910" s="43">
        <v>277300000</v>
      </c>
      <c r="D910" s="42" t="s">
        <v>19</v>
      </c>
      <c r="E910" s="43">
        <v>0</v>
      </c>
      <c r="F910" s="43">
        <f>C910-G910</f>
        <v>68906479</v>
      </c>
      <c r="G910" s="43">
        <v>208393521</v>
      </c>
      <c r="H910" s="44">
        <f>G910/C910*100</f>
        <v>75.150927154706096</v>
      </c>
      <c r="I910" s="28"/>
      <c r="J910" s="29"/>
      <c r="K910" s="30"/>
      <c r="L910" s="31"/>
    </row>
    <row r="911" spans="1:12" ht="17.25" thickBot="1" x14ac:dyDescent="0.3">
      <c r="A911" s="32" t="s">
        <v>982</v>
      </c>
      <c r="B911" s="32" t="s">
        <v>983</v>
      </c>
      <c r="C911" s="33">
        <f>SUM(C912)</f>
        <v>242600000</v>
      </c>
      <c r="D911" s="34"/>
      <c r="E911" s="35"/>
      <c r="F911" s="33">
        <f>C911-G911</f>
        <v>7421528</v>
      </c>
      <c r="G911" s="33">
        <f>SUM(G912)</f>
        <v>235178472</v>
      </c>
      <c r="H911" s="36">
        <f>H912</f>
        <v>98.816720663265301</v>
      </c>
      <c r="I911" s="28"/>
      <c r="J911" s="29"/>
      <c r="K911" s="30"/>
      <c r="L911" s="31"/>
    </row>
    <row r="912" spans="1:12" ht="17.25" thickBot="1" x14ac:dyDescent="0.3">
      <c r="A912" s="37" t="s">
        <v>984</v>
      </c>
      <c r="B912" s="37" t="s">
        <v>985</v>
      </c>
      <c r="C912" s="38">
        <f>SUM(C913:C916)</f>
        <v>242600000</v>
      </c>
      <c r="D912" s="39"/>
      <c r="E912" s="40"/>
      <c r="F912" s="38">
        <f>C912-G912</f>
        <v>7421528</v>
      </c>
      <c r="G912" s="38">
        <f>SUM(G913:G916)</f>
        <v>235178472</v>
      </c>
      <c r="H912" s="45">
        <f>AVERAGE(H913:H916)</f>
        <v>98.816720663265301</v>
      </c>
      <c r="I912" s="28"/>
      <c r="J912" s="29"/>
      <c r="K912" s="30"/>
      <c r="L912" s="31"/>
    </row>
    <row r="913" spans="1:12" ht="17.25" thickBot="1" x14ac:dyDescent="0.3">
      <c r="A913" s="42"/>
      <c r="B913" s="42" t="s">
        <v>71</v>
      </c>
      <c r="C913" s="43">
        <v>28600000</v>
      </c>
      <c r="D913" s="42" t="s">
        <v>72</v>
      </c>
      <c r="E913" s="43">
        <v>28600000</v>
      </c>
      <c r="F913" s="43">
        <f>C913-G913</f>
        <v>0</v>
      </c>
      <c r="G913" s="43">
        <v>28600000</v>
      </c>
      <c r="H913" s="44">
        <v>100</v>
      </c>
      <c r="I913" s="28"/>
      <c r="J913" s="29"/>
      <c r="K913" s="30"/>
      <c r="L913" s="31"/>
    </row>
    <row r="914" spans="1:12" ht="17.25" thickBot="1" x14ac:dyDescent="0.3">
      <c r="A914" s="42"/>
      <c r="B914" s="42" t="s">
        <v>73</v>
      </c>
      <c r="C914" s="43">
        <v>156800000</v>
      </c>
      <c r="D914" s="42" t="s">
        <v>19</v>
      </c>
      <c r="E914" s="43">
        <v>0</v>
      </c>
      <c r="F914" s="43">
        <f>C914-G914</f>
        <v>7421528</v>
      </c>
      <c r="G914" s="43">
        <f>56515161+7956950+29523172+10533509+12130500+25319180+7400000</f>
        <v>149378472</v>
      </c>
      <c r="H914" s="44">
        <f>G914/C914*100</f>
        <v>95.266882653061231</v>
      </c>
      <c r="I914" s="28"/>
      <c r="J914" s="29"/>
      <c r="K914" s="30"/>
      <c r="L914" s="31"/>
    </row>
    <row r="915" spans="1:12" ht="17.25" thickBot="1" x14ac:dyDescent="0.3">
      <c r="A915" s="42"/>
      <c r="B915" s="42" t="s">
        <v>389</v>
      </c>
      <c r="C915" s="43">
        <v>28600000</v>
      </c>
      <c r="D915" s="42" t="s">
        <v>72</v>
      </c>
      <c r="E915" s="43">
        <v>28600000</v>
      </c>
      <c r="F915" s="43">
        <f>C915-G915</f>
        <v>0</v>
      </c>
      <c r="G915" s="43">
        <v>28600000</v>
      </c>
      <c r="H915" s="44">
        <v>100</v>
      </c>
      <c r="I915" s="28"/>
      <c r="J915" s="29"/>
      <c r="K915" s="30"/>
      <c r="L915" s="31"/>
    </row>
    <row r="916" spans="1:12" ht="17.25" thickBot="1" x14ac:dyDescent="0.3">
      <c r="A916" s="42"/>
      <c r="B916" s="42" t="s">
        <v>208</v>
      </c>
      <c r="C916" s="43">
        <v>28600000</v>
      </c>
      <c r="D916" s="42" t="s">
        <v>72</v>
      </c>
      <c r="E916" s="43">
        <v>28600000</v>
      </c>
      <c r="F916" s="43">
        <f>C916-G916</f>
        <v>0</v>
      </c>
      <c r="G916" s="43">
        <v>28600000</v>
      </c>
      <c r="H916" s="44">
        <v>100</v>
      </c>
      <c r="I916" s="28"/>
      <c r="J916" s="29"/>
      <c r="K916" s="30"/>
      <c r="L916" s="31"/>
    </row>
    <row r="917" spans="1:12" ht="17.25" thickBot="1" x14ac:dyDescent="0.3">
      <c r="A917" s="32" t="s">
        <v>986</v>
      </c>
      <c r="B917" s="32" t="s">
        <v>987</v>
      </c>
      <c r="C917" s="33">
        <f>SUM(C918,C920)</f>
        <v>157000000</v>
      </c>
      <c r="D917" s="34"/>
      <c r="E917" s="35"/>
      <c r="F917" s="33">
        <f>C917-G917</f>
        <v>3300424</v>
      </c>
      <c r="G917" s="33">
        <f>SUM(G918,G920)</f>
        <v>153699576</v>
      </c>
      <c r="H917" s="36">
        <f>AVERAGE(H918,H920)</f>
        <v>97.667754538878071</v>
      </c>
      <c r="I917" s="28"/>
      <c r="J917" s="29"/>
      <c r="K917" s="30"/>
      <c r="L917" s="31"/>
    </row>
    <row r="918" spans="1:12" ht="17.25" thickBot="1" x14ac:dyDescent="0.3">
      <c r="A918" s="37" t="s">
        <v>988</v>
      </c>
      <c r="B918" s="37" t="s">
        <v>989</v>
      </c>
      <c r="C918" s="38">
        <f>SUM(C919)</f>
        <v>50000000</v>
      </c>
      <c r="D918" s="39"/>
      <c r="E918" s="40"/>
      <c r="F918" s="38">
        <f>C918-G918</f>
        <v>1715924</v>
      </c>
      <c r="G918" s="40">
        <f>SUM(G919)</f>
        <v>48284076</v>
      </c>
      <c r="H918" s="41">
        <f>G918/C918*100</f>
        <v>96.568151999999998</v>
      </c>
      <c r="I918" s="28"/>
      <c r="J918" s="29"/>
      <c r="K918" s="30"/>
      <c r="L918" s="31"/>
    </row>
    <row r="919" spans="1:12" ht="17.25" thickBot="1" x14ac:dyDescent="0.3">
      <c r="A919" s="42"/>
      <c r="B919" s="42" t="s">
        <v>18</v>
      </c>
      <c r="C919" s="43">
        <v>50000000</v>
      </c>
      <c r="D919" s="42" t="s">
        <v>19</v>
      </c>
      <c r="E919" s="43">
        <v>0</v>
      </c>
      <c r="F919" s="43">
        <f>C919-G919</f>
        <v>1715924</v>
      </c>
      <c r="G919" s="43">
        <v>48284076</v>
      </c>
      <c r="H919" s="44">
        <f>G919/C919*100</f>
        <v>96.568151999999998</v>
      </c>
      <c r="I919" s="28"/>
      <c r="J919" s="29"/>
      <c r="K919" s="30"/>
      <c r="L919" s="31"/>
    </row>
    <row r="920" spans="1:12" ht="17.25" thickBot="1" x14ac:dyDescent="0.3">
      <c r="A920" s="37" t="s">
        <v>990</v>
      </c>
      <c r="B920" s="37" t="s">
        <v>991</v>
      </c>
      <c r="C920" s="38">
        <f>SUM(C921:C922)</f>
        <v>107000000</v>
      </c>
      <c r="D920" s="39"/>
      <c r="E920" s="40"/>
      <c r="F920" s="38">
        <f>C920-G920</f>
        <v>1584500</v>
      </c>
      <c r="G920" s="38">
        <f>SUM(G921:G922)</f>
        <v>105415500</v>
      </c>
      <c r="H920" s="45">
        <f>AVERAGE(H921:H922)</f>
        <v>98.767357077756145</v>
      </c>
      <c r="I920" s="28"/>
      <c r="J920" s="29"/>
      <c r="K920" s="30"/>
      <c r="L920" s="31"/>
    </row>
    <row r="921" spans="1:12" ht="17.25" thickBot="1" x14ac:dyDescent="0.3">
      <c r="A921" s="42"/>
      <c r="B921" s="42" t="s">
        <v>992</v>
      </c>
      <c r="C921" s="43">
        <v>95808600</v>
      </c>
      <c r="D921" s="42" t="s">
        <v>194</v>
      </c>
      <c r="E921" s="43">
        <v>94500000</v>
      </c>
      <c r="F921" s="43">
        <f>C921-G921</f>
        <v>1308600</v>
      </c>
      <c r="G921" s="43">
        <v>94500000</v>
      </c>
      <c r="H921" s="44">
        <v>100</v>
      </c>
      <c r="I921" s="28"/>
      <c r="J921" s="29"/>
      <c r="K921" s="30"/>
      <c r="L921" s="31"/>
    </row>
    <row r="922" spans="1:12" ht="17.25" thickBot="1" x14ac:dyDescent="0.3">
      <c r="A922" s="42"/>
      <c r="B922" s="42" t="s">
        <v>73</v>
      </c>
      <c r="C922" s="43">
        <v>11191400</v>
      </c>
      <c r="D922" s="42" t="s">
        <v>19</v>
      </c>
      <c r="E922" s="43">
        <v>0</v>
      </c>
      <c r="F922" s="43">
        <f>C922-G922</f>
        <v>275900</v>
      </c>
      <c r="G922" s="43">
        <v>10915500</v>
      </c>
      <c r="H922" s="44">
        <f>G922/C922*100</f>
        <v>97.534714155512276</v>
      </c>
      <c r="I922" s="28"/>
      <c r="J922" s="29"/>
      <c r="K922" s="30"/>
      <c r="L922" s="31"/>
    </row>
    <row r="923" spans="1:12" x14ac:dyDescent="0.25">
      <c r="A923" s="5"/>
    </row>
    <row r="924" spans="1:12" x14ac:dyDescent="0.25">
      <c r="A924" s="5"/>
      <c r="F924" s="4"/>
    </row>
    <row r="925" spans="1:12" x14ac:dyDescent="0.25">
      <c r="A925" s="5"/>
    </row>
    <row r="926" spans="1:12" x14ac:dyDescent="0.25">
      <c r="A926" s="78"/>
    </row>
    <row r="927" spans="1:12" x14ac:dyDescent="0.25">
      <c r="A927" s="79"/>
    </row>
    <row r="928" spans="1:12" x14ac:dyDescent="0.25">
      <c r="A928" s="79"/>
    </row>
    <row r="929" spans="1:5" x14ac:dyDescent="0.25">
      <c r="A929" s="11"/>
    </row>
    <row r="930" spans="1:5" x14ac:dyDescent="0.25">
      <c r="A930" s="80"/>
    </row>
    <row r="931" spans="1:5" x14ac:dyDescent="0.25">
      <c r="A931" s="78"/>
    </row>
    <row r="932" spans="1:5" x14ac:dyDescent="0.25">
      <c r="A932" s="78"/>
      <c r="E932" s="8" t="s">
        <v>993</v>
      </c>
    </row>
    <row r="933" spans="1:5" x14ac:dyDescent="0.25">
      <c r="A933" s="11"/>
    </row>
    <row r="934" spans="1:5" x14ac:dyDescent="0.25">
      <c r="A934" s="5"/>
    </row>
    <row r="935" spans="1:5" x14ac:dyDescent="0.25">
      <c r="A935" s="5"/>
    </row>
  </sheetData>
  <mergeCells count="12">
    <mergeCell ref="E605:E606"/>
    <mergeCell ref="F605:F606"/>
    <mergeCell ref="E630:E631"/>
    <mergeCell ref="G6:H6"/>
    <mergeCell ref="A1:H1"/>
    <mergeCell ref="A2:H2"/>
    <mergeCell ref="A3:H3"/>
    <mergeCell ref="A6:A7"/>
    <mergeCell ref="B6:B7"/>
    <mergeCell ref="C6:C7"/>
    <mergeCell ref="D6:D7"/>
    <mergeCell ref="F6:F7"/>
  </mergeCells>
  <conditionalFormatting sqref="E458 E429:E430 E433:E453 E647:E663 E666:E684 E537:E538 E501:E505 E507:E508 E510:E511 E513:E517 E520:E527 E529:E535">
    <cfRule type="expression" dxfId="26" priority="37">
      <formula>CELL("row")=ROW()</formula>
    </cfRule>
  </conditionalFormatting>
  <conditionalFormatting sqref="G526">
    <cfRule type="expression" dxfId="15" priority="17">
      <formula>CELL("row")=ROW()</formula>
    </cfRule>
  </conditionalFormatting>
  <conditionalFormatting sqref="G502">
    <cfRule type="expression" dxfId="14" priority="16">
      <formula>CELL("row")=ROW()</formula>
    </cfRule>
  </conditionalFormatting>
  <conditionalFormatting sqref="G436">
    <cfRule type="expression" dxfId="13" priority="15">
      <formula>CELL("row")=ROW()</formula>
    </cfRule>
  </conditionalFormatting>
  <conditionalFormatting sqref="G443">
    <cfRule type="expression" dxfId="12" priority="14">
      <formula>CELL("row")=ROW()</formula>
    </cfRule>
  </conditionalFormatting>
  <conditionalFormatting sqref="G430">
    <cfRule type="expression" dxfId="11" priority="13">
      <formula>CELL("row")=ROW()</formula>
    </cfRule>
  </conditionalFormatting>
  <conditionalFormatting sqref="G433">
    <cfRule type="expression" dxfId="10" priority="12">
      <formula>CELL("row")=ROW()</formula>
    </cfRule>
  </conditionalFormatting>
  <conditionalFormatting sqref="G529">
    <cfRule type="expression" dxfId="9" priority="11">
      <formula>CELL("row")=ROW()</formula>
    </cfRule>
  </conditionalFormatting>
  <conditionalFormatting sqref="G532">
    <cfRule type="expression" dxfId="8" priority="10">
      <formula>CELL("row")=ROW()</formula>
    </cfRule>
  </conditionalFormatting>
  <conditionalFormatting sqref="G534">
    <cfRule type="expression" dxfId="7" priority="9">
      <formula>CELL("row")=ROW()</formula>
    </cfRule>
  </conditionalFormatting>
  <conditionalFormatting sqref="G524">
    <cfRule type="expression" dxfId="6" priority="8">
      <formula>CELL("row")=ROW()</formula>
    </cfRule>
  </conditionalFormatting>
  <conditionalFormatting sqref="G522">
    <cfRule type="expression" dxfId="5" priority="7">
      <formula>CELL("row")=ROW()</formula>
    </cfRule>
  </conditionalFormatting>
  <conditionalFormatting sqref="G525">
    <cfRule type="expression" dxfId="4" priority="6">
      <formula>CELL("row")=ROW()</formula>
    </cfRule>
  </conditionalFormatting>
  <conditionalFormatting sqref="G508">
    <cfRule type="expression" dxfId="3" priority="5">
      <formula>CELL("row")=ROW()</formula>
    </cfRule>
  </conditionalFormatting>
  <conditionalFormatting sqref="G445">
    <cfRule type="expression" dxfId="0" priority="1">
      <formula>CELL("row")=ROW()</formula>
    </cfRule>
  </conditionalFormatting>
  <pageMargins left="0" right="0.39370078740157483" top="0.39370078740157483" bottom="0.39370078740157483" header="0.51181102362204722" footer="0"/>
  <pageSetup paperSize="5" scale="47" orientation="landscape" horizontalDpi="4294967293" verticalDpi="360" r:id="rId1"/>
  <rowBreaks count="23" manualBreakCount="23">
    <brk id="46" max="16383" man="1"/>
    <brk id="83" max="16383" man="1"/>
    <brk id="116" max="16383" man="1"/>
    <brk id="149" max="16383" man="1"/>
    <brk id="189" max="16383" man="1"/>
    <brk id="228" max="16383" man="1"/>
    <brk id="264" max="16383" man="1"/>
    <brk id="303" max="16383" man="1"/>
    <brk id="340" max="16383" man="1"/>
    <brk id="373" max="16383" man="1"/>
    <brk id="402" max="16383" man="1"/>
    <brk id="442" max="16383" man="1"/>
    <brk id="484" max="16383" man="1"/>
    <brk id="524" max="16383" man="1"/>
    <brk id="569" max="16383" man="1"/>
    <brk id="611" max="16383" man="1"/>
    <brk id="653" max="16383" man="1"/>
    <brk id="695" max="16383" man="1"/>
    <brk id="736" max="16383" man="1"/>
    <brk id="778" max="16383" man="1"/>
    <brk id="819" max="16383" man="1"/>
    <brk id="860" max="16383" man="1"/>
    <brk id="89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9AAF-1E71-4EF3-A9AB-9BC11FA2E884}">
  <dimension ref="A1:J849"/>
  <sheetViews>
    <sheetView showGridLines="0" view="pageBreakPreview" zoomScale="90" zoomScaleNormal="90" zoomScaleSheetLayoutView="90" workbookViewId="0">
      <selection activeCell="C829" sqref="C829"/>
    </sheetView>
  </sheetViews>
  <sheetFormatPr defaultRowHeight="12" x14ac:dyDescent="0.25"/>
  <cols>
    <col min="1" max="1" width="42" style="60" customWidth="1"/>
    <col min="2" max="2" width="19.42578125" style="60" customWidth="1"/>
    <col min="3" max="3" width="22.85546875" style="60" customWidth="1"/>
    <col min="4" max="4" width="19.140625" style="60" hidden="1" customWidth="1"/>
    <col min="5" max="5" width="13.5703125" style="8" bestFit="1" customWidth="1"/>
    <col min="6" max="6" width="16.42578125" style="81" bestFit="1" customWidth="1"/>
    <col min="7" max="7" width="21.7109375" style="81" customWidth="1"/>
    <col min="8" max="8" width="18" style="82" customWidth="1"/>
    <col min="9" max="9" width="15.5703125" style="81" bestFit="1" customWidth="1"/>
    <col min="10" max="10" width="13.5703125" style="81" customWidth="1"/>
    <col min="11" max="256" width="9.140625" style="60"/>
    <col min="257" max="257" width="42" style="60" customWidth="1"/>
    <col min="258" max="258" width="19.42578125" style="60" customWidth="1"/>
    <col min="259" max="259" width="22.85546875" style="60" customWidth="1"/>
    <col min="260" max="260" width="0" style="60" hidden="1" customWidth="1"/>
    <col min="261" max="261" width="13.5703125" style="60" bestFit="1" customWidth="1"/>
    <col min="262" max="262" width="16.42578125" style="60" bestFit="1" customWidth="1"/>
    <col min="263" max="263" width="21.7109375" style="60" customWidth="1"/>
    <col min="264" max="264" width="18" style="60" customWidth="1"/>
    <col min="265" max="265" width="15.5703125" style="60" bestFit="1" customWidth="1"/>
    <col min="266" max="266" width="13.5703125" style="60" customWidth="1"/>
    <col min="267" max="512" width="9.140625" style="60"/>
    <col min="513" max="513" width="42" style="60" customWidth="1"/>
    <col min="514" max="514" width="19.42578125" style="60" customWidth="1"/>
    <col min="515" max="515" width="22.85546875" style="60" customWidth="1"/>
    <col min="516" max="516" width="0" style="60" hidden="1" customWidth="1"/>
    <col min="517" max="517" width="13.5703125" style="60" bestFit="1" customWidth="1"/>
    <col min="518" max="518" width="16.42578125" style="60" bestFit="1" customWidth="1"/>
    <col min="519" max="519" width="21.7109375" style="60" customWidth="1"/>
    <col min="520" max="520" width="18" style="60" customWidth="1"/>
    <col min="521" max="521" width="15.5703125" style="60" bestFit="1" customWidth="1"/>
    <col min="522" max="522" width="13.5703125" style="60" customWidth="1"/>
    <col min="523" max="768" width="9.140625" style="60"/>
    <col min="769" max="769" width="42" style="60" customWidth="1"/>
    <col min="770" max="770" width="19.42578125" style="60" customWidth="1"/>
    <col min="771" max="771" width="22.85546875" style="60" customWidth="1"/>
    <col min="772" max="772" width="0" style="60" hidden="1" customWidth="1"/>
    <col min="773" max="773" width="13.5703125" style="60" bestFit="1" customWidth="1"/>
    <col min="774" max="774" width="16.42578125" style="60" bestFit="1" customWidth="1"/>
    <col min="775" max="775" width="21.7109375" style="60" customWidth="1"/>
    <col min="776" max="776" width="18" style="60" customWidth="1"/>
    <col min="777" max="777" width="15.5703125" style="60" bestFit="1" customWidth="1"/>
    <col min="778" max="778" width="13.5703125" style="60" customWidth="1"/>
    <col min="779" max="1024" width="9.140625" style="60"/>
    <col min="1025" max="1025" width="42" style="60" customWidth="1"/>
    <col min="1026" max="1026" width="19.42578125" style="60" customWidth="1"/>
    <col min="1027" max="1027" width="22.85546875" style="60" customWidth="1"/>
    <col min="1028" max="1028" width="0" style="60" hidden="1" customWidth="1"/>
    <col min="1029" max="1029" width="13.5703125" style="60" bestFit="1" customWidth="1"/>
    <col min="1030" max="1030" width="16.42578125" style="60" bestFit="1" customWidth="1"/>
    <col min="1031" max="1031" width="21.7109375" style="60" customWidth="1"/>
    <col min="1032" max="1032" width="18" style="60" customWidth="1"/>
    <col min="1033" max="1033" width="15.5703125" style="60" bestFit="1" customWidth="1"/>
    <col min="1034" max="1034" width="13.5703125" style="60" customWidth="1"/>
    <col min="1035" max="1280" width="9.140625" style="60"/>
    <col min="1281" max="1281" width="42" style="60" customWidth="1"/>
    <col min="1282" max="1282" width="19.42578125" style="60" customWidth="1"/>
    <col min="1283" max="1283" width="22.85546875" style="60" customWidth="1"/>
    <col min="1284" max="1284" width="0" style="60" hidden="1" customWidth="1"/>
    <col min="1285" max="1285" width="13.5703125" style="60" bestFit="1" customWidth="1"/>
    <col min="1286" max="1286" width="16.42578125" style="60" bestFit="1" customWidth="1"/>
    <col min="1287" max="1287" width="21.7109375" style="60" customWidth="1"/>
    <col min="1288" max="1288" width="18" style="60" customWidth="1"/>
    <col min="1289" max="1289" width="15.5703125" style="60" bestFit="1" customWidth="1"/>
    <col min="1290" max="1290" width="13.5703125" style="60" customWidth="1"/>
    <col min="1291" max="1536" width="9.140625" style="60"/>
    <col min="1537" max="1537" width="42" style="60" customWidth="1"/>
    <col min="1538" max="1538" width="19.42578125" style="60" customWidth="1"/>
    <col min="1539" max="1539" width="22.85546875" style="60" customWidth="1"/>
    <col min="1540" max="1540" width="0" style="60" hidden="1" customWidth="1"/>
    <col min="1541" max="1541" width="13.5703125" style="60" bestFit="1" customWidth="1"/>
    <col min="1542" max="1542" width="16.42578125" style="60" bestFit="1" customWidth="1"/>
    <col min="1543" max="1543" width="21.7109375" style="60" customWidth="1"/>
    <col min="1544" max="1544" width="18" style="60" customWidth="1"/>
    <col min="1545" max="1545" width="15.5703125" style="60" bestFit="1" customWidth="1"/>
    <col min="1546" max="1546" width="13.5703125" style="60" customWidth="1"/>
    <col min="1547" max="1792" width="9.140625" style="60"/>
    <col min="1793" max="1793" width="42" style="60" customWidth="1"/>
    <col min="1794" max="1794" width="19.42578125" style="60" customWidth="1"/>
    <col min="1795" max="1795" width="22.85546875" style="60" customWidth="1"/>
    <col min="1796" max="1796" width="0" style="60" hidden="1" customWidth="1"/>
    <col min="1797" max="1797" width="13.5703125" style="60" bestFit="1" customWidth="1"/>
    <col min="1798" max="1798" width="16.42578125" style="60" bestFit="1" customWidth="1"/>
    <col min="1799" max="1799" width="21.7109375" style="60" customWidth="1"/>
    <col min="1800" max="1800" width="18" style="60" customWidth="1"/>
    <col min="1801" max="1801" width="15.5703125" style="60" bestFit="1" customWidth="1"/>
    <col min="1802" max="1802" width="13.5703125" style="60" customWidth="1"/>
    <col min="1803" max="2048" width="9.140625" style="60"/>
    <col min="2049" max="2049" width="42" style="60" customWidth="1"/>
    <col min="2050" max="2050" width="19.42578125" style="60" customWidth="1"/>
    <col min="2051" max="2051" width="22.85546875" style="60" customWidth="1"/>
    <col min="2052" max="2052" width="0" style="60" hidden="1" customWidth="1"/>
    <col min="2053" max="2053" width="13.5703125" style="60" bestFit="1" customWidth="1"/>
    <col min="2054" max="2054" width="16.42578125" style="60" bestFit="1" customWidth="1"/>
    <col min="2055" max="2055" width="21.7109375" style="60" customWidth="1"/>
    <col min="2056" max="2056" width="18" style="60" customWidth="1"/>
    <col min="2057" max="2057" width="15.5703125" style="60" bestFit="1" customWidth="1"/>
    <col min="2058" max="2058" width="13.5703125" style="60" customWidth="1"/>
    <col min="2059" max="2304" width="9.140625" style="60"/>
    <col min="2305" max="2305" width="42" style="60" customWidth="1"/>
    <col min="2306" max="2306" width="19.42578125" style="60" customWidth="1"/>
    <col min="2307" max="2307" width="22.85546875" style="60" customWidth="1"/>
    <col min="2308" max="2308" width="0" style="60" hidden="1" customWidth="1"/>
    <col min="2309" max="2309" width="13.5703125" style="60" bestFit="1" customWidth="1"/>
    <col min="2310" max="2310" width="16.42578125" style="60" bestFit="1" customWidth="1"/>
    <col min="2311" max="2311" width="21.7109375" style="60" customWidth="1"/>
    <col min="2312" max="2312" width="18" style="60" customWidth="1"/>
    <col min="2313" max="2313" width="15.5703125" style="60" bestFit="1" customWidth="1"/>
    <col min="2314" max="2314" width="13.5703125" style="60" customWidth="1"/>
    <col min="2315" max="2560" width="9.140625" style="60"/>
    <col min="2561" max="2561" width="42" style="60" customWidth="1"/>
    <col min="2562" max="2562" width="19.42578125" style="60" customWidth="1"/>
    <col min="2563" max="2563" width="22.85546875" style="60" customWidth="1"/>
    <col min="2564" max="2564" width="0" style="60" hidden="1" customWidth="1"/>
    <col min="2565" max="2565" width="13.5703125" style="60" bestFit="1" customWidth="1"/>
    <col min="2566" max="2566" width="16.42578125" style="60" bestFit="1" customWidth="1"/>
    <col min="2567" max="2567" width="21.7109375" style="60" customWidth="1"/>
    <col min="2568" max="2568" width="18" style="60" customWidth="1"/>
    <col min="2569" max="2569" width="15.5703125" style="60" bestFit="1" customWidth="1"/>
    <col min="2570" max="2570" width="13.5703125" style="60" customWidth="1"/>
    <col min="2571" max="2816" width="9.140625" style="60"/>
    <col min="2817" max="2817" width="42" style="60" customWidth="1"/>
    <col min="2818" max="2818" width="19.42578125" style="60" customWidth="1"/>
    <col min="2819" max="2819" width="22.85546875" style="60" customWidth="1"/>
    <col min="2820" max="2820" width="0" style="60" hidden="1" customWidth="1"/>
    <col min="2821" max="2821" width="13.5703125" style="60" bestFit="1" customWidth="1"/>
    <col min="2822" max="2822" width="16.42578125" style="60" bestFit="1" customWidth="1"/>
    <col min="2823" max="2823" width="21.7109375" style="60" customWidth="1"/>
    <col min="2824" max="2824" width="18" style="60" customWidth="1"/>
    <col min="2825" max="2825" width="15.5703125" style="60" bestFit="1" customWidth="1"/>
    <col min="2826" max="2826" width="13.5703125" style="60" customWidth="1"/>
    <col min="2827" max="3072" width="9.140625" style="60"/>
    <col min="3073" max="3073" width="42" style="60" customWidth="1"/>
    <col min="3074" max="3074" width="19.42578125" style="60" customWidth="1"/>
    <col min="3075" max="3075" width="22.85546875" style="60" customWidth="1"/>
    <col min="3076" max="3076" width="0" style="60" hidden="1" customWidth="1"/>
    <col min="3077" max="3077" width="13.5703125" style="60" bestFit="1" customWidth="1"/>
    <col min="3078" max="3078" width="16.42578125" style="60" bestFit="1" customWidth="1"/>
    <col min="3079" max="3079" width="21.7109375" style="60" customWidth="1"/>
    <col min="3080" max="3080" width="18" style="60" customWidth="1"/>
    <col min="3081" max="3081" width="15.5703125" style="60" bestFit="1" customWidth="1"/>
    <col min="3082" max="3082" width="13.5703125" style="60" customWidth="1"/>
    <col min="3083" max="3328" width="9.140625" style="60"/>
    <col min="3329" max="3329" width="42" style="60" customWidth="1"/>
    <col min="3330" max="3330" width="19.42578125" style="60" customWidth="1"/>
    <col min="3331" max="3331" width="22.85546875" style="60" customWidth="1"/>
    <col min="3332" max="3332" width="0" style="60" hidden="1" customWidth="1"/>
    <col min="3333" max="3333" width="13.5703125" style="60" bestFit="1" customWidth="1"/>
    <col min="3334" max="3334" width="16.42578125" style="60" bestFit="1" customWidth="1"/>
    <col min="3335" max="3335" width="21.7109375" style="60" customWidth="1"/>
    <col min="3336" max="3336" width="18" style="60" customWidth="1"/>
    <col min="3337" max="3337" width="15.5703125" style="60" bestFit="1" customWidth="1"/>
    <col min="3338" max="3338" width="13.5703125" style="60" customWidth="1"/>
    <col min="3339" max="3584" width="9.140625" style="60"/>
    <col min="3585" max="3585" width="42" style="60" customWidth="1"/>
    <col min="3586" max="3586" width="19.42578125" style="60" customWidth="1"/>
    <col min="3587" max="3587" width="22.85546875" style="60" customWidth="1"/>
    <col min="3588" max="3588" width="0" style="60" hidden="1" customWidth="1"/>
    <col min="3589" max="3589" width="13.5703125" style="60" bestFit="1" customWidth="1"/>
    <col min="3590" max="3590" width="16.42578125" style="60" bestFit="1" customWidth="1"/>
    <col min="3591" max="3591" width="21.7109375" style="60" customWidth="1"/>
    <col min="3592" max="3592" width="18" style="60" customWidth="1"/>
    <col min="3593" max="3593" width="15.5703125" style="60" bestFit="1" customWidth="1"/>
    <col min="3594" max="3594" width="13.5703125" style="60" customWidth="1"/>
    <col min="3595" max="3840" width="9.140625" style="60"/>
    <col min="3841" max="3841" width="42" style="60" customWidth="1"/>
    <col min="3842" max="3842" width="19.42578125" style="60" customWidth="1"/>
    <col min="3843" max="3843" width="22.85546875" style="60" customWidth="1"/>
    <col min="3844" max="3844" width="0" style="60" hidden="1" customWidth="1"/>
    <col min="3845" max="3845" width="13.5703125" style="60" bestFit="1" customWidth="1"/>
    <col min="3846" max="3846" width="16.42578125" style="60" bestFit="1" customWidth="1"/>
    <col min="3847" max="3847" width="21.7109375" style="60" customWidth="1"/>
    <col min="3848" max="3848" width="18" style="60" customWidth="1"/>
    <col min="3849" max="3849" width="15.5703125" style="60" bestFit="1" customWidth="1"/>
    <col min="3850" max="3850" width="13.5703125" style="60" customWidth="1"/>
    <col min="3851" max="4096" width="9.140625" style="60"/>
    <col min="4097" max="4097" width="42" style="60" customWidth="1"/>
    <col min="4098" max="4098" width="19.42578125" style="60" customWidth="1"/>
    <col min="4099" max="4099" width="22.85546875" style="60" customWidth="1"/>
    <col min="4100" max="4100" width="0" style="60" hidden="1" customWidth="1"/>
    <col min="4101" max="4101" width="13.5703125" style="60" bestFit="1" customWidth="1"/>
    <col min="4102" max="4102" width="16.42578125" style="60" bestFit="1" customWidth="1"/>
    <col min="4103" max="4103" width="21.7109375" style="60" customWidth="1"/>
    <col min="4104" max="4104" width="18" style="60" customWidth="1"/>
    <col min="4105" max="4105" width="15.5703125" style="60" bestFit="1" customWidth="1"/>
    <col min="4106" max="4106" width="13.5703125" style="60" customWidth="1"/>
    <col min="4107" max="4352" width="9.140625" style="60"/>
    <col min="4353" max="4353" width="42" style="60" customWidth="1"/>
    <col min="4354" max="4354" width="19.42578125" style="60" customWidth="1"/>
    <col min="4355" max="4355" width="22.85546875" style="60" customWidth="1"/>
    <col min="4356" max="4356" width="0" style="60" hidden="1" customWidth="1"/>
    <col min="4357" max="4357" width="13.5703125" style="60" bestFit="1" customWidth="1"/>
    <col min="4358" max="4358" width="16.42578125" style="60" bestFit="1" customWidth="1"/>
    <col min="4359" max="4359" width="21.7109375" style="60" customWidth="1"/>
    <col min="4360" max="4360" width="18" style="60" customWidth="1"/>
    <col min="4361" max="4361" width="15.5703125" style="60" bestFit="1" customWidth="1"/>
    <col min="4362" max="4362" width="13.5703125" style="60" customWidth="1"/>
    <col min="4363" max="4608" width="9.140625" style="60"/>
    <col min="4609" max="4609" width="42" style="60" customWidth="1"/>
    <col min="4610" max="4610" width="19.42578125" style="60" customWidth="1"/>
    <col min="4611" max="4611" width="22.85546875" style="60" customWidth="1"/>
    <col min="4612" max="4612" width="0" style="60" hidden="1" customWidth="1"/>
    <col min="4613" max="4613" width="13.5703125" style="60" bestFit="1" customWidth="1"/>
    <col min="4614" max="4614" width="16.42578125" style="60" bestFit="1" customWidth="1"/>
    <col min="4615" max="4615" width="21.7109375" style="60" customWidth="1"/>
    <col min="4616" max="4616" width="18" style="60" customWidth="1"/>
    <col min="4617" max="4617" width="15.5703125" style="60" bestFit="1" customWidth="1"/>
    <col min="4618" max="4618" width="13.5703125" style="60" customWidth="1"/>
    <col min="4619" max="4864" width="9.140625" style="60"/>
    <col min="4865" max="4865" width="42" style="60" customWidth="1"/>
    <col min="4866" max="4866" width="19.42578125" style="60" customWidth="1"/>
    <col min="4867" max="4867" width="22.85546875" style="60" customWidth="1"/>
    <col min="4868" max="4868" width="0" style="60" hidden="1" customWidth="1"/>
    <col min="4869" max="4869" width="13.5703125" style="60" bestFit="1" customWidth="1"/>
    <col min="4870" max="4870" width="16.42578125" style="60" bestFit="1" customWidth="1"/>
    <col min="4871" max="4871" width="21.7109375" style="60" customWidth="1"/>
    <col min="4872" max="4872" width="18" style="60" customWidth="1"/>
    <col min="4873" max="4873" width="15.5703125" style="60" bestFit="1" customWidth="1"/>
    <col min="4874" max="4874" width="13.5703125" style="60" customWidth="1"/>
    <col min="4875" max="5120" width="9.140625" style="60"/>
    <col min="5121" max="5121" width="42" style="60" customWidth="1"/>
    <col min="5122" max="5122" width="19.42578125" style="60" customWidth="1"/>
    <col min="5123" max="5123" width="22.85546875" style="60" customWidth="1"/>
    <col min="5124" max="5124" width="0" style="60" hidden="1" customWidth="1"/>
    <col min="5125" max="5125" width="13.5703125" style="60" bestFit="1" customWidth="1"/>
    <col min="5126" max="5126" width="16.42578125" style="60" bestFit="1" customWidth="1"/>
    <col min="5127" max="5127" width="21.7109375" style="60" customWidth="1"/>
    <col min="5128" max="5128" width="18" style="60" customWidth="1"/>
    <col min="5129" max="5129" width="15.5703125" style="60" bestFit="1" customWidth="1"/>
    <col min="5130" max="5130" width="13.5703125" style="60" customWidth="1"/>
    <col min="5131" max="5376" width="9.140625" style="60"/>
    <col min="5377" max="5377" width="42" style="60" customWidth="1"/>
    <col min="5378" max="5378" width="19.42578125" style="60" customWidth="1"/>
    <col min="5379" max="5379" width="22.85546875" style="60" customWidth="1"/>
    <col min="5380" max="5380" width="0" style="60" hidden="1" customWidth="1"/>
    <col min="5381" max="5381" width="13.5703125" style="60" bestFit="1" customWidth="1"/>
    <col min="5382" max="5382" width="16.42578125" style="60" bestFit="1" customWidth="1"/>
    <col min="5383" max="5383" width="21.7109375" style="60" customWidth="1"/>
    <col min="5384" max="5384" width="18" style="60" customWidth="1"/>
    <col min="5385" max="5385" width="15.5703125" style="60" bestFit="1" customWidth="1"/>
    <col min="5386" max="5386" width="13.5703125" style="60" customWidth="1"/>
    <col min="5387" max="5632" width="9.140625" style="60"/>
    <col min="5633" max="5633" width="42" style="60" customWidth="1"/>
    <col min="5634" max="5634" width="19.42578125" style="60" customWidth="1"/>
    <col min="5635" max="5635" width="22.85546875" style="60" customWidth="1"/>
    <col min="5636" max="5636" width="0" style="60" hidden="1" customWidth="1"/>
    <col min="5637" max="5637" width="13.5703125" style="60" bestFit="1" customWidth="1"/>
    <col min="5638" max="5638" width="16.42578125" style="60" bestFit="1" customWidth="1"/>
    <col min="5639" max="5639" width="21.7109375" style="60" customWidth="1"/>
    <col min="5640" max="5640" width="18" style="60" customWidth="1"/>
    <col min="5641" max="5641" width="15.5703125" style="60" bestFit="1" customWidth="1"/>
    <col min="5642" max="5642" width="13.5703125" style="60" customWidth="1"/>
    <col min="5643" max="5888" width="9.140625" style="60"/>
    <col min="5889" max="5889" width="42" style="60" customWidth="1"/>
    <col min="5890" max="5890" width="19.42578125" style="60" customWidth="1"/>
    <col min="5891" max="5891" width="22.85546875" style="60" customWidth="1"/>
    <col min="5892" max="5892" width="0" style="60" hidden="1" customWidth="1"/>
    <col min="5893" max="5893" width="13.5703125" style="60" bestFit="1" customWidth="1"/>
    <col min="5894" max="5894" width="16.42578125" style="60" bestFit="1" customWidth="1"/>
    <col min="5895" max="5895" width="21.7109375" style="60" customWidth="1"/>
    <col min="5896" max="5896" width="18" style="60" customWidth="1"/>
    <col min="5897" max="5897" width="15.5703125" style="60" bestFit="1" customWidth="1"/>
    <col min="5898" max="5898" width="13.5703125" style="60" customWidth="1"/>
    <col min="5899" max="6144" width="9.140625" style="60"/>
    <col min="6145" max="6145" width="42" style="60" customWidth="1"/>
    <col min="6146" max="6146" width="19.42578125" style="60" customWidth="1"/>
    <col min="6147" max="6147" width="22.85546875" style="60" customWidth="1"/>
    <col min="6148" max="6148" width="0" style="60" hidden="1" customWidth="1"/>
    <col min="6149" max="6149" width="13.5703125" style="60" bestFit="1" customWidth="1"/>
    <col min="6150" max="6150" width="16.42578125" style="60" bestFit="1" customWidth="1"/>
    <col min="6151" max="6151" width="21.7109375" style="60" customWidth="1"/>
    <col min="6152" max="6152" width="18" style="60" customWidth="1"/>
    <col min="6153" max="6153" width="15.5703125" style="60" bestFit="1" customWidth="1"/>
    <col min="6154" max="6154" width="13.5703125" style="60" customWidth="1"/>
    <col min="6155" max="6400" width="9.140625" style="60"/>
    <col min="6401" max="6401" width="42" style="60" customWidth="1"/>
    <col min="6402" max="6402" width="19.42578125" style="60" customWidth="1"/>
    <col min="6403" max="6403" width="22.85546875" style="60" customWidth="1"/>
    <col min="6404" max="6404" width="0" style="60" hidden="1" customWidth="1"/>
    <col min="6405" max="6405" width="13.5703125" style="60" bestFit="1" customWidth="1"/>
    <col min="6406" max="6406" width="16.42578125" style="60" bestFit="1" customWidth="1"/>
    <col min="6407" max="6407" width="21.7109375" style="60" customWidth="1"/>
    <col min="6408" max="6408" width="18" style="60" customWidth="1"/>
    <col min="6409" max="6409" width="15.5703125" style="60" bestFit="1" customWidth="1"/>
    <col min="6410" max="6410" width="13.5703125" style="60" customWidth="1"/>
    <col min="6411" max="6656" width="9.140625" style="60"/>
    <col min="6657" max="6657" width="42" style="60" customWidth="1"/>
    <col min="6658" max="6658" width="19.42578125" style="60" customWidth="1"/>
    <col min="6659" max="6659" width="22.85546875" style="60" customWidth="1"/>
    <col min="6660" max="6660" width="0" style="60" hidden="1" customWidth="1"/>
    <col min="6661" max="6661" width="13.5703125" style="60" bestFit="1" customWidth="1"/>
    <col min="6662" max="6662" width="16.42578125" style="60" bestFit="1" customWidth="1"/>
    <col min="6663" max="6663" width="21.7109375" style="60" customWidth="1"/>
    <col min="6664" max="6664" width="18" style="60" customWidth="1"/>
    <col min="6665" max="6665" width="15.5703125" style="60" bestFit="1" customWidth="1"/>
    <col min="6666" max="6666" width="13.5703125" style="60" customWidth="1"/>
    <col min="6667" max="6912" width="9.140625" style="60"/>
    <col min="6913" max="6913" width="42" style="60" customWidth="1"/>
    <col min="6914" max="6914" width="19.42578125" style="60" customWidth="1"/>
    <col min="6915" max="6915" width="22.85546875" style="60" customWidth="1"/>
    <col min="6916" max="6916" width="0" style="60" hidden="1" customWidth="1"/>
    <col min="6917" max="6917" width="13.5703125" style="60" bestFit="1" customWidth="1"/>
    <col min="6918" max="6918" width="16.42578125" style="60" bestFit="1" customWidth="1"/>
    <col min="6919" max="6919" width="21.7109375" style="60" customWidth="1"/>
    <col min="6920" max="6920" width="18" style="60" customWidth="1"/>
    <col min="6921" max="6921" width="15.5703125" style="60" bestFit="1" customWidth="1"/>
    <col min="6922" max="6922" width="13.5703125" style="60" customWidth="1"/>
    <col min="6923" max="7168" width="9.140625" style="60"/>
    <col min="7169" max="7169" width="42" style="60" customWidth="1"/>
    <col min="7170" max="7170" width="19.42578125" style="60" customWidth="1"/>
    <col min="7171" max="7171" width="22.85546875" style="60" customWidth="1"/>
    <col min="7172" max="7172" width="0" style="60" hidden="1" customWidth="1"/>
    <col min="7173" max="7173" width="13.5703125" style="60" bestFit="1" customWidth="1"/>
    <col min="7174" max="7174" width="16.42578125" style="60" bestFit="1" customWidth="1"/>
    <col min="7175" max="7175" width="21.7109375" style="60" customWidth="1"/>
    <col min="7176" max="7176" width="18" style="60" customWidth="1"/>
    <col min="7177" max="7177" width="15.5703125" style="60" bestFit="1" customWidth="1"/>
    <col min="7178" max="7178" width="13.5703125" style="60" customWidth="1"/>
    <col min="7179" max="7424" width="9.140625" style="60"/>
    <col min="7425" max="7425" width="42" style="60" customWidth="1"/>
    <col min="7426" max="7426" width="19.42578125" style="60" customWidth="1"/>
    <col min="7427" max="7427" width="22.85546875" style="60" customWidth="1"/>
    <col min="7428" max="7428" width="0" style="60" hidden="1" customWidth="1"/>
    <col min="7429" max="7429" width="13.5703125" style="60" bestFit="1" customWidth="1"/>
    <col min="7430" max="7430" width="16.42578125" style="60" bestFit="1" customWidth="1"/>
    <col min="7431" max="7431" width="21.7109375" style="60" customWidth="1"/>
    <col min="7432" max="7432" width="18" style="60" customWidth="1"/>
    <col min="7433" max="7433" width="15.5703125" style="60" bestFit="1" customWidth="1"/>
    <col min="7434" max="7434" width="13.5703125" style="60" customWidth="1"/>
    <col min="7435" max="7680" width="9.140625" style="60"/>
    <col min="7681" max="7681" width="42" style="60" customWidth="1"/>
    <col min="7682" max="7682" width="19.42578125" style="60" customWidth="1"/>
    <col min="7683" max="7683" width="22.85546875" style="60" customWidth="1"/>
    <col min="7684" max="7684" width="0" style="60" hidden="1" customWidth="1"/>
    <col min="7685" max="7685" width="13.5703125" style="60" bestFit="1" customWidth="1"/>
    <col min="7686" max="7686" width="16.42578125" style="60" bestFit="1" customWidth="1"/>
    <col min="7687" max="7687" width="21.7109375" style="60" customWidth="1"/>
    <col min="7688" max="7688" width="18" style="60" customWidth="1"/>
    <col min="7689" max="7689" width="15.5703125" style="60" bestFit="1" customWidth="1"/>
    <col min="7690" max="7690" width="13.5703125" style="60" customWidth="1"/>
    <col min="7691" max="7936" width="9.140625" style="60"/>
    <col min="7937" max="7937" width="42" style="60" customWidth="1"/>
    <col min="7938" max="7938" width="19.42578125" style="60" customWidth="1"/>
    <col min="7939" max="7939" width="22.85546875" style="60" customWidth="1"/>
    <col min="7940" max="7940" width="0" style="60" hidden="1" customWidth="1"/>
    <col min="7941" max="7941" width="13.5703125" style="60" bestFit="1" customWidth="1"/>
    <col min="7942" max="7942" width="16.42578125" style="60" bestFit="1" customWidth="1"/>
    <col min="7943" max="7943" width="21.7109375" style="60" customWidth="1"/>
    <col min="7944" max="7944" width="18" style="60" customWidth="1"/>
    <col min="7945" max="7945" width="15.5703125" style="60" bestFit="1" customWidth="1"/>
    <col min="7946" max="7946" width="13.5703125" style="60" customWidth="1"/>
    <col min="7947" max="8192" width="9.140625" style="60"/>
    <col min="8193" max="8193" width="42" style="60" customWidth="1"/>
    <col min="8194" max="8194" width="19.42578125" style="60" customWidth="1"/>
    <col min="8195" max="8195" width="22.85546875" style="60" customWidth="1"/>
    <col min="8196" max="8196" width="0" style="60" hidden="1" customWidth="1"/>
    <col min="8197" max="8197" width="13.5703125" style="60" bestFit="1" customWidth="1"/>
    <col min="8198" max="8198" width="16.42578125" style="60" bestFit="1" customWidth="1"/>
    <col min="8199" max="8199" width="21.7109375" style="60" customWidth="1"/>
    <col min="8200" max="8200" width="18" style="60" customWidth="1"/>
    <col min="8201" max="8201" width="15.5703125" style="60" bestFit="1" customWidth="1"/>
    <col min="8202" max="8202" width="13.5703125" style="60" customWidth="1"/>
    <col min="8203" max="8448" width="9.140625" style="60"/>
    <col min="8449" max="8449" width="42" style="60" customWidth="1"/>
    <col min="8450" max="8450" width="19.42578125" style="60" customWidth="1"/>
    <col min="8451" max="8451" width="22.85546875" style="60" customWidth="1"/>
    <col min="8452" max="8452" width="0" style="60" hidden="1" customWidth="1"/>
    <col min="8453" max="8453" width="13.5703125" style="60" bestFit="1" customWidth="1"/>
    <col min="8454" max="8454" width="16.42578125" style="60" bestFit="1" customWidth="1"/>
    <col min="8455" max="8455" width="21.7109375" style="60" customWidth="1"/>
    <col min="8456" max="8456" width="18" style="60" customWidth="1"/>
    <col min="8457" max="8457" width="15.5703125" style="60" bestFit="1" customWidth="1"/>
    <col min="8458" max="8458" width="13.5703125" style="60" customWidth="1"/>
    <col min="8459" max="8704" width="9.140625" style="60"/>
    <col min="8705" max="8705" width="42" style="60" customWidth="1"/>
    <col min="8706" max="8706" width="19.42578125" style="60" customWidth="1"/>
    <col min="8707" max="8707" width="22.85546875" style="60" customWidth="1"/>
    <col min="8708" max="8708" width="0" style="60" hidden="1" customWidth="1"/>
    <col min="8709" max="8709" width="13.5703125" style="60" bestFit="1" customWidth="1"/>
    <col min="8710" max="8710" width="16.42578125" style="60" bestFit="1" customWidth="1"/>
    <col min="8711" max="8711" width="21.7109375" style="60" customWidth="1"/>
    <col min="8712" max="8712" width="18" style="60" customWidth="1"/>
    <col min="8713" max="8713" width="15.5703125" style="60" bestFit="1" customWidth="1"/>
    <col min="8714" max="8714" width="13.5703125" style="60" customWidth="1"/>
    <col min="8715" max="8960" width="9.140625" style="60"/>
    <col min="8961" max="8961" width="42" style="60" customWidth="1"/>
    <col min="8962" max="8962" width="19.42578125" style="60" customWidth="1"/>
    <col min="8963" max="8963" width="22.85546875" style="60" customWidth="1"/>
    <col min="8964" max="8964" width="0" style="60" hidden="1" customWidth="1"/>
    <col min="8965" max="8965" width="13.5703125" style="60" bestFit="1" customWidth="1"/>
    <col min="8966" max="8966" width="16.42578125" style="60" bestFit="1" customWidth="1"/>
    <col min="8967" max="8967" width="21.7109375" style="60" customWidth="1"/>
    <col min="8968" max="8968" width="18" style="60" customWidth="1"/>
    <col min="8969" max="8969" width="15.5703125" style="60" bestFit="1" customWidth="1"/>
    <col min="8970" max="8970" width="13.5703125" style="60" customWidth="1"/>
    <col min="8971" max="9216" width="9.140625" style="60"/>
    <col min="9217" max="9217" width="42" style="60" customWidth="1"/>
    <col min="9218" max="9218" width="19.42578125" style="60" customWidth="1"/>
    <col min="9219" max="9219" width="22.85546875" style="60" customWidth="1"/>
    <col min="9220" max="9220" width="0" style="60" hidden="1" customWidth="1"/>
    <col min="9221" max="9221" width="13.5703125" style="60" bestFit="1" customWidth="1"/>
    <col min="9222" max="9222" width="16.42578125" style="60" bestFit="1" customWidth="1"/>
    <col min="9223" max="9223" width="21.7109375" style="60" customWidth="1"/>
    <col min="9224" max="9224" width="18" style="60" customWidth="1"/>
    <col min="9225" max="9225" width="15.5703125" style="60" bestFit="1" customWidth="1"/>
    <col min="9226" max="9226" width="13.5703125" style="60" customWidth="1"/>
    <col min="9227" max="9472" width="9.140625" style="60"/>
    <col min="9473" max="9473" width="42" style="60" customWidth="1"/>
    <col min="9474" max="9474" width="19.42578125" style="60" customWidth="1"/>
    <col min="9475" max="9475" width="22.85546875" style="60" customWidth="1"/>
    <col min="9476" max="9476" width="0" style="60" hidden="1" customWidth="1"/>
    <col min="9477" max="9477" width="13.5703125" style="60" bestFit="1" customWidth="1"/>
    <col min="9478" max="9478" width="16.42578125" style="60" bestFit="1" customWidth="1"/>
    <col min="9479" max="9479" width="21.7109375" style="60" customWidth="1"/>
    <col min="9480" max="9480" width="18" style="60" customWidth="1"/>
    <col min="9481" max="9481" width="15.5703125" style="60" bestFit="1" customWidth="1"/>
    <col min="9482" max="9482" width="13.5703125" style="60" customWidth="1"/>
    <col min="9483" max="9728" width="9.140625" style="60"/>
    <col min="9729" max="9729" width="42" style="60" customWidth="1"/>
    <col min="9730" max="9730" width="19.42578125" style="60" customWidth="1"/>
    <col min="9731" max="9731" width="22.85546875" style="60" customWidth="1"/>
    <col min="9732" max="9732" width="0" style="60" hidden="1" customWidth="1"/>
    <col min="9733" max="9733" width="13.5703125" style="60" bestFit="1" customWidth="1"/>
    <col min="9734" max="9734" width="16.42578125" style="60" bestFit="1" customWidth="1"/>
    <col min="9735" max="9735" width="21.7109375" style="60" customWidth="1"/>
    <col min="9736" max="9736" width="18" style="60" customWidth="1"/>
    <col min="9737" max="9737" width="15.5703125" style="60" bestFit="1" customWidth="1"/>
    <col min="9738" max="9738" width="13.5703125" style="60" customWidth="1"/>
    <col min="9739" max="9984" width="9.140625" style="60"/>
    <col min="9985" max="9985" width="42" style="60" customWidth="1"/>
    <col min="9986" max="9986" width="19.42578125" style="60" customWidth="1"/>
    <col min="9987" max="9987" width="22.85546875" style="60" customWidth="1"/>
    <col min="9988" max="9988" width="0" style="60" hidden="1" customWidth="1"/>
    <col min="9989" max="9989" width="13.5703125" style="60" bestFit="1" customWidth="1"/>
    <col min="9990" max="9990" width="16.42578125" style="60" bestFit="1" customWidth="1"/>
    <col min="9991" max="9991" width="21.7109375" style="60" customWidth="1"/>
    <col min="9992" max="9992" width="18" style="60" customWidth="1"/>
    <col min="9993" max="9993" width="15.5703125" style="60" bestFit="1" customWidth="1"/>
    <col min="9994" max="9994" width="13.5703125" style="60" customWidth="1"/>
    <col min="9995" max="10240" width="9.140625" style="60"/>
    <col min="10241" max="10241" width="42" style="60" customWidth="1"/>
    <col min="10242" max="10242" width="19.42578125" style="60" customWidth="1"/>
    <col min="10243" max="10243" width="22.85546875" style="60" customWidth="1"/>
    <col min="10244" max="10244" width="0" style="60" hidden="1" customWidth="1"/>
    <col min="10245" max="10245" width="13.5703125" style="60" bestFit="1" customWidth="1"/>
    <col min="10246" max="10246" width="16.42578125" style="60" bestFit="1" customWidth="1"/>
    <col min="10247" max="10247" width="21.7109375" style="60" customWidth="1"/>
    <col min="10248" max="10248" width="18" style="60" customWidth="1"/>
    <col min="10249" max="10249" width="15.5703125" style="60" bestFit="1" customWidth="1"/>
    <col min="10250" max="10250" width="13.5703125" style="60" customWidth="1"/>
    <col min="10251" max="10496" width="9.140625" style="60"/>
    <col min="10497" max="10497" width="42" style="60" customWidth="1"/>
    <col min="10498" max="10498" width="19.42578125" style="60" customWidth="1"/>
    <col min="10499" max="10499" width="22.85546875" style="60" customWidth="1"/>
    <col min="10500" max="10500" width="0" style="60" hidden="1" customWidth="1"/>
    <col min="10501" max="10501" width="13.5703125" style="60" bestFit="1" customWidth="1"/>
    <col min="10502" max="10502" width="16.42578125" style="60" bestFit="1" customWidth="1"/>
    <col min="10503" max="10503" width="21.7109375" style="60" customWidth="1"/>
    <col min="10504" max="10504" width="18" style="60" customWidth="1"/>
    <col min="10505" max="10505" width="15.5703125" style="60" bestFit="1" customWidth="1"/>
    <col min="10506" max="10506" width="13.5703125" style="60" customWidth="1"/>
    <col min="10507" max="10752" width="9.140625" style="60"/>
    <col min="10753" max="10753" width="42" style="60" customWidth="1"/>
    <col min="10754" max="10754" width="19.42578125" style="60" customWidth="1"/>
    <col min="10755" max="10755" width="22.85546875" style="60" customWidth="1"/>
    <col min="10756" max="10756" width="0" style="60" hidden="1" customWidth="1"/>
    <col min="10757" max="10757" width="13.5703125" style="60" bestFit="1" customWidth="1"/>
    <col min="10758" max="10758" width="16.42578125" style="60" bestFit="1" customWidth="1"/>
    <col min="10759" max="10759" width="21.7109375" style="60" customWidth="1"/>
    <col min="10760" max="10760" width="18" style="60" customWidth="1"/>
    <col min="10761" max="10761" width="15.5703125" style="60" bestFit="1" customWidth="1"/>
    <col min="10762" max="10762" width="13.5703125" style="60" customWidth="1"/>
    <col min="10763" max="11008" width="9.140625" style="60"/>
    <col min="11009" max="11009" width="42" style="60" customWidth="1"/>
    <col min="11010" max="11010" width="19.42578125" style="60" customWidth="1"/>
    <col min="11011" max="11011" width="22.85546875" style="60" customWidth="1"/>
    <col min="11012" max="11012" width="0" style="60" hidden="1" customWidth="1"/>
    <col min="11013" max="11013" width="13.5703125" style="60" bestFit="1" customWidth="1"/>
    <col min="11014" max="11014" width="16.42578125" style="60" bestFit="1" customWidth="1"/>
    <col min="11015" max="11015" width="21.7109375" style="60" customWidth="1"/>
    <col min="11016" max="11016" width="18" style="60" customWidth="1"/>
    <col min="11017" max="11017" width="15.5703125" style="60" bestFit="1" customWidth="1"/>
    <col min="11018" max="11018" width="13.5703125" style="60" customWidth="1"/>
    <col min="11019" max="11264" width="9.140625" style="60"/>
    <col min="11265" max="11265" width="42" style="60" customWidth="1"/>
    <col min="11266" max="11266" width="19.42578125" style="60" customWidth="1"/>
    <col min="11267" max="11267" width="22.85546875" style="60" customWidth="1"/>
    <col min="11268" max="11268" width="0" style="60" hidden="1" customWidth="1"/>
    <col min="11269" max="11269" width="13.5703125" style="60" bestFit="1" customWidth="1"/>
    <col min="11270" max="11270" width="16.42578125" style="60" bestFit="1" customWidth="1"/>
    <col min="11271" max="11271" width="21.7109375" style="60" customWidth="1"/>
    <col min="11272" max="11272" width="18" style="60" customWidth="1"/>
    <col min="11273" max="11273" width="15.5703125" style="60" bestFit="1" customWidth="1"/>
    <col min="11274" max="11274" width="13.5703125" style="60" customWidth="1"/>
    <col min="11275" max="11520" width="9.140625" style="60"/>
    <col min="11521" max="11521" width="42" style="60" customWidth="1"/>
    <col min="11522" max="11522" width="19.42578125" style="60" customWidth="1"/>
    <col min="11523" max="11523" width="22.85546875" style="60" customWidth="1"/>
    <col min="11524" max="11524" width="0" style="60" hidden="1" customWidth="1"/>
    <col min="11525" max="11525" width="13.5703125" style="60" bestFit="1" customWidth="1"/>
    <col min="11526" max="11526" width="16.42578125" style="60" bestFit="1" customWidth="1"/>
    <col min="11527" max="11527" width="21.7109375" style="60" customWidth="1"/>
    <col min="11528" max="11528" width="18" style="60" customWidth="1"/>
    <col min="11529" max="11529" width="15.5703125" style="60" bestFit="1" customWidth="1"/>
    <col min="11530" max="11530" width="13.5703125" style="60" customWidth="1"/>
    <col min="11531" max="11776" width="9.140625" style="60"/>
    <col min="11777" max="11777" width="42" style="60" customWidth="1"/>
    <col min="11778" max="11778" width="19.42578125" style="60" customWidth="1"/>
    <col min="11779" max="11779" width="22.85546875" style="60" customWidth="1"/>
    <col min="11780" max="11780" width="0" style="60" hidden="1" customWidth="1"/>
    <col min="11781" max="11781" width="13.5703125" style="60" bestFit="1" customWidth="1"/>
    <col min="11782" max="11782" width="16.42578125" style="60" bestFit="1" customWidth="1"/>
    <col min="11783" max="11783" width="21.7109375" style="60" customWidth="1"/>
    <col min="11784" max="11784" width="18" style="60" customWidth="1"/>
    <col min="11785" max="11785" width="15.5703125" style="60" bestFit="1" customWidth="1"/>
    <col min="11786" max="11786" width="13.5703125" style="60" customWidth="1"/>
    <col min="11787" max="12032" width="9.140625" style="60"/>
    <col min="12033" max="12033" width="42" style="60" customWidth="1"/>
    <col min="12034" max="12034" width="19.42578125" style="60" customWidth="1"/>
    <col min="12035" max="12035" width="22.85546875" style="60" customWidth="1"/>
    <col min="12036" max="12036" width="0" style="60" hidden="1" customWidth="1"/>
    <col min="12037" max="12037" width="13.5703125" style="60" bestFit="1" customWidth="1"/>
    <col min="12038" max="12038" width="16.42578125" style="60" bestFit="1" customWidth="1"/>
    <col min="12039" max="12039" width="21.7109375" style="60" customWidth="1"/>
    <col min="12040" max="12040" width="18" style="60" customWidth="1"/>
    <col min="12041" max="12041" width="15.5703125" style="60" bestFit="1" customWidth="1"/>
    <col min="12042" max="12042" width="13.5703125" style="60" customWidth="1"/>
    <col min="12043" max="12288" width="9.140625" style="60"/>
    <col min="12289" max="12289" width="42" style="60" customWidth="1"/>
    <col min="12290" max="12290" width="19.42578125" style="60" customWidth="1"/>
    <col min="12291" max="12291" width="22.85546875" style="60" customWidth="1"/>
    <col min="12292" max="12292" width="0" style="60" hidden="1" customWidth="1"/>
    <col min="12293" max="12293" width="13.5703125" style="60" bestFit="1" customWidth="1"/>
    <col min="12294" max="12294" width="16.42578125" style="60" bestFit="1" customWidth="1"/>
    <col min="12295" max="12295" width="21.7109375" style="60" customWidth="1"/>
    <col min="12296" max="12296" width="18" style="60" customWidth="1"/>
    <col min="12297" max="12297" width="15.5703125" style="60" bestFit="1" customWidth="1"/>
    <col min="12298" max="12298" width="13.5703125" style="60" customWidth="1"/>
    <col min="12299" max="12544" width="9.140625" style="60"/>
    <col min="12545" max="12545" width="42" style="60" customWidth="1"/>
    <col min="12546" max="12546" width="19.42578125" style="60" customWidth="1"/>
    <col min="12547" max="12547" width="22.85546875" style="60" customWidth="1"/>
    <col min="12548" max="12548" width="0" style="60" hidden="1" customWidth="1"/>
    <col min="12549" max="12549" width="13.5703125" style="60" bestFit="1" customWidth="1"/>
    <col min="12550" max="12550" width="16.42578125" style="60" bestFit="1" customWidth="1"/>
    <col min="12551" max="12551" width="21.7109375" style="60" customWidth="1"/>
    <col min="12552" max="12552" width="18" style="60" customWidth="1"/>
    <col min="12553" max="12553" width="15.5703125" style="60" bestFit="1" customWidth="1"/>
    <col min="12554" max="12554" width="13.5703125" style="60" customWidth="1"/>
    <col min="12555" max="12800" width="9.140625" style="60"/>
    <col min="12801" max="12801" width="42" style="60" customWidth="1"/>
    <col min="12802" max="12802" width="19.42578125" style="60" customWidth="1"/>
    <col min="12803" max="12803" width="22.85546875" style="60" customWidth="1"/>
    <col min="12804" max="12804" width="0" style="60" hidden="1" customWidth="1"/>
    <col min="12805" max="12805" width="13.5703125" style="60" bestFit="1" customWidth="1"/>
    <col min="12806" max="12806" width="16.42578125" style="60" bestFit="1" customWidth="1"/>
    <col min="12807" max="12807" width="21.7109375" style="60" customWidth="1"/>
    <col min="12808" max="12808" width="18" style="60" customWidth="1"/>
    <col min="12809" max="12809" width="15.5703125" style="60" bestFit="1" customWidth="1"/>
    <col min="12810" max="12810" width="13.5703125" style="60" customWidth="1"/>
    <col min="12811" max="13056" width="9.140625" style="60"/>
    <col min="13057" max="13057" width="42" style="60" customWidth="1"/>
    <col min="13058" max="13058" width="19.42578125" style="60" customWidth="1"/>
    <col min="13059" max="13059" width="22.85546875" style="60" customWidth="1"/>
    <col min="13060" max="13060" width="0" style="60" hidden="1" customWidth="1"/>
    <col min="13061" max="13061" width="13.5703125" style="60" bestFit="1" customWidth="1"/>
    <col min="13062" max="13062" width="16.42578125" style="60" bestFit="1" customWidth="1"/>
    <col min="13063" max="13063" width="21.7109375" style="60" customWidth="1"/>
    <col min="13064" max="13064" width="18" style="60" customWidth="1"/>
    <col min="13065" max="13065" width="15.5703125" style="60" bestFit="1" customWidth="1"/>
    <col min="13066" max="13066" width="13.5703125" style="60" customWidth="1"/>
    <col min="13067" max="13312" width="9.140625" style="60"/>
    <col min="13313" max="13313" width="42" style="60" customWidth="1"/>
    <col min="13314" max="13314" width="19.42578125" style="60" customWidth="1"/>
    <col min="13315" max="13315" width="22.85546875" style="60" customWidth="1"/>
    <col min="13316" max="13316" width="0" style="60" hidden="1" customWidth="1"/>
    <col min="13317" max="13317" width="13.5703125" style="60" bestFit="1" customWidth="1"/>
    <col min="13318" max="13318" width="16.42578125" style="60" bestFit="1" customWidth="1"/>
    <col min="13319" max="13319" width="21.7109375" style="60" customWidth="1"/>
    <col min="13320" max="13320" width="18" style="60" customWidth="1"/>
    <col min="13321" max="13321" width="15.5703125" style="60" bestFit="1" customWidth="1"/>
    <col min="13322" max="13322" width="13.5703125" style="60" customWidth="1"/>
    <col min="13323" max="13568" width="9.140625" style="60"/>
    <col min="13569" max="13569" width="42" style="60" customWidth="1"/>
    <col min="13570" max="13570" width="19.42578125" style="60" customWidth="1"/>
    <col min="13571" max="13571" width="22.85546875" style="60" customWidth="1"/>
    <col min="13572" max="13572" width="0" style="60" hidden="1" customWidth="1"/>
    <col min="13573" max="13573" width="13.5703125" style="60" bestFit="1" customWidth="1"/>
    <col min="13574" max="13574" width="16.42578125" style="60" bestFit="1" customWidth="1"/>
    <col min="13575" max="13575" width="21.7109375" style="60" customWidth="1"/>
    <col min="13576" max="13576" width="18" style="60" customWidth="1"/>
    <col min="13577" max="13577" width="15.5703125" style="60" bestFit="1" customWidth="1"/>
    <col min="13578" max="13578" width="13.5703125" style="60" customWidth="1"/>
    <col min="13579" max="13824" width="9.140625" style="60"/>
    <col min="13825" max="13825" width="42" style="60" customWidth="1"/>
    <col min="13826" max="13826" width="19.42578125" style="60" customWidth="1"/>
    <col min="13827" max="13827" width="22.85546875" style="60" customWidth="1"/>
    <col min="13828" max="13828" width="0" style="60" hidden="1" customWidth="1"/>
    <col min="13829" max="13829" width="13.5703125" style="60" bestFit="1" customWidth="1"/>
    <col min="13830" max="13830" width="16.42578125" style="60" bestFit="1" customWidth="1"/>
    <col min="13831" max="13831" width="21.7109375" style="60" customWidth="1"/>
    <col min="13832" max="13832" width="18" style="60" customWidth="1"/>
    <col min="13833" max="13833" width="15.5703125" style="60" bestFit="1" customWidth="1"/>
    <col min="13834" max="13834" width="13.5703125" style="60" customWidth="1"/>
    <col min="13835" max="14080" width="9.140625" style="60"/>
    <col min="14081" max="14081" width="42" style="60" customWidth="1"/>
    <col min="14082" max="14082" width="19.42578125" style="60" customWidth="1"/>
    <col min="14083" max="14083" width="22.85546875" style="60" customWidth="1"/>
    <col min="14084" max="14084" width="0" style="60" hidden="1" customWidth="1"/>
    <col min="14085" max="14085" width="13.5703125" style="60" bestFit="1" customWidth="1"/>
    <col min="14086" max="14086" width="16.42578125" style="60" bestFit="1" customWidth="1"/>
    <col min="14087" max="14087" width="21.7109375" style="60" customWidth="1"/>
    <col min="14088" max="14088" width="18" style="60" customWidth="1"/>
    <col min="14089" max="14089" width="15.5703125" style="60" bestFit="1" customWidth="1"/>
    <col min="14090" max="14090" width="13.5703125" style="60" customWidth="1"/>
    <col min="14091" max="14336" width="9.140625" style="60"/>
    <col min="14337" max="14337" width="42" style="60" customWidth="1"/>
    <col min="14338" max="14338" width="19.42578125" style="60" customWidth="1"/>
    <col min="14339" max="14339" width="22.85546875" style="60" customWidth="1"/>
    <col min="14340" max="14340" width="0" style="60" hidden="1" customWidth="1"/>
    <col min="14341" max="14341" width="13.5703125" style="60" bestFit="1" customWidth="1"/>
    <col min="14342" max="14342" width="16.42578125" style="60" bestFit="1" customWidth="1"/>
    <col min="14343" max="14343" width="21.7109375" style="60" customWidth="1"/>
    <col min="14344" max="14344" width="18" style="60" customWidth="1"/>
    <col min="14345" max="14345" width="15.5703125" style="60" bestFit="1" customWidth="1"/>
    <col min="14346" max="14346" width="13.5703125" style="60" customWidth="1"/>
    <col min="14347" max="14592" width="9.140625" style="60"/>
    <col min="14593" max="14593" width="42" style="60" customWidth="1"/>
    <col min="14594" max="14594" width="19.42578125" style="60" customWidth="1"/>
    <col min="14595" max="14595" width="22.85546875" style="60" customWidth="1"/>
    <col min="14596" max="14596" width="0" style="60" hidden="1" customWidth="1"/>
    <col min="14597" max="14597" width="13.5703125" style="60" bestFit="1" customWidth="1"/>
    <col min="14598" max="14598" width="16.42578125" style="60" bestFit="1" customWidth="1"/>
    <col min="14599" max="14599" width="21.7109375" style="60" customWidth="1"/>
    <col min="14600" max="14600" width="18" style="60" customWidth="1"/>
    <col min="14601" max="14601" width="15.5703125" style="60" bestFit="1" customWidth="1"/>
    <col min="14602" max="14602" width="13.5703125" style="60" customWidth="1"/>
    <col min="14603" max="14848" width="9.140625" style="60"/>
    <col min="14849" max="14849" width="42" style="60" customWidth="1"/>
    <col min="14850" max="14850" width="19.42578125" style="60" customWidth="1"/>
    <col min="14851" max="14851" width="22.85546875" style="60" customWidth="1"/>
    <col min="14852" max="14852" width="0" style="60" hidden="1" customWidth="1"/>
    <col min="14853" max="14853" width="13.5703125" style="60" bestFit="1" customWidth="1"/>
    <col min="14854" max="14854" width="16.42578125" style="60" bestFit="1" customWidth="1"/>
    <col min="14855" max="14855" width="21.7109375" style="60" customWidth="1"/>
    <col min="14856" max="14856" width="18" style="60" customWidth="1"/>
    <col min="14857" max="14857" width="15.5703125" style="60" bestFit="1" customWidth="1"/>
    <col min="14858" max="14858" width="13.5703125" style="60" customWidth="1"/>
    <col min="14859" max="15104" width="9.140625" style="60"/>
    <col min="15105" max="15105" width="42" style="60" customWidth="1"/>
    <col min="15106" max="15106" width="19.42578125" style="60" customWidth="1"/>
    <col min="15107" max="15107" width="22.85546875" style="60" customWidth="1"/>
    <col min="15108" max="15108" width="0" style="60" hidden="1" customWidth="1"/>
    <col min="15109" max="15109" width="13.5703125" style="60" bestFit="1" customWidth="1"/>
    <col min="15110" max="15110" width="16.42578125" style="60" bestFit="1" customWidth="1"/>
    <col min="15111" max="15111" width="21.7109375" style="60" customWidth="1"/>
    <col min="15112" max="15112" width="18" style="60" customWidth="1"/>
    <col min="15113" max="15113" width="15.5703125" style="60" bestFit="1" customWidth="1"/>
    <col min="15114" max="15114" width="13.5703125" style="60" customWidth="1"/>
    <col min="15115" max="15360" width="9.140625" style="60"/>
    <col min="15361" max="15361" width="42" style="60" customWidth="1"/>
    <col min="15362" max="15362" width="19.42578125" style="60" customWidth="1"/>
    <col min="15363" max="15363" width="22.85546875" style="60" customWidth="1"/>
    <col min="15364" max="15364" width="0" style="60" hidden="1" customWidth="1"/>
    <col min="15365" max="15365" width="13.5703125" style="60" bestFit="1" customWidth="1"/>
    <col min="15366" max="15366" width="16.42578125" style="60" bestFit="1" customWidth="1"/>
    <col min="15367" max="15367" width="21.7109375" style="60" customWidth="1"/>
    <col min="15368" max="15368" width="18" style="60" customWidth="1"/>
    <col min="15369" max="15369" width="15.5703125" style="60" bestFit="1" customWidth="1"/>
    <col min="15370" max="15370" width="13.5703125" style="60" customWidth="1"/>
    <col min="15371" max="15616" width="9.140625" style="60"/>
    <col min="15617" max="15617" width="42" style="60" customWidth="1"/>
    <col min="15618" max="15618" width="19.42578125" style="60" customWidth="1"/>
    <col min="15619" max="15619" width="22.85546875" style="60" customWidth="1"/>
    <col min="15620" max="15620" width="0" style="60" hidden="1" customWidth="1"/>
    <col min="15621" max="15621" width="13.5703125" style="60" bestFit="1" customWidth="1"/>
    <col min="15622" max="15622" width="16.42578125" style="60" bestFit="1" customWidth="1"/>
    <col min="15623" max="15623" width="21.7109375" style="60" customWidth="1"/>
    <col min="15624" max="15624" width="18" style="60" customWidth="1"/>
    <col min="15625" max="15625" width="15.5703125" style="60" bestFit="1" customWidth="1"/>
    <col min="15626" max="15626" width="13.5703125" style="60" customWidth="1"/>
    <col min="15627" max="15872" width="9.140625" style="60"/>
    <col min="15873" max="15873" width="42" style="60" customWidth="1"/>
    <col min="15874" max="15874" width="19.42578125" style="60" customWidth="1"/>
    <col min="15875" max="15875" width="22.85546875" style="60" customWidth="1"/>
    <col min="15876" max="15876" width="0" style="60" hidden="1" customWidth="1"/>
    <col min="15877" max="15877" width="13.5703125" style="60" bestFit="1" customWidth="1"/>
    <col min="15878" max="15878" width="16.42578125" style="60" bestFit="1" customWidth="1"/>
    <col min="15879" max="15879" width="21.7109375" style="60" customWidth="1"/>
    <col min="15880" max="15880" width="18" style="60" customWidth="1"/>
    <col min="15881" max="15881" width="15.5703125" style="60" bestFit="1" customWidth="1"/>
    <col min="15882" max="15882" width="13.5703125" style="60" customWidth="1"/>
    <col min="15883" max="16128" width="9.140625" style="60"/>
    <col min="16129" max="16129" width="42" style="60" customWidth="1"/>
    <col min="16130" max="16130" width="19.42578125" style="60" customWidth="1"/>
    <col min="16131" max="16131" width="22.85546875" style="60" customWidth="1"/>
    <col min="16132" max="16132" width="0" style="60" hidden="1" customWidth="1"/>
    <col min="16133" max="16133" width="13.5703125" style="60" bestFit="1" customWidth="1"/>
    <col min="16134" max="16134" width="16.42578125" style="60" bestFit="1" customWidth="1"/>
    <col min="16135" max="16135" width="21.7109375" style="60" customWidth="1"/>
    <col min="16136" max="16136" width="18" style="60" customWidth="1"/>
    <col min="16137" max="16137" width="15.5703125" style="60" bestFit="1" customWidth="1"/>
    <col min="16138" max="16138" width="13.5703125" style="60" customWidth="1"/>
    <col min="16139" max="16384" width="9.140625" style="60"/>
  </cols>
  <sheetData>
    <row r="1" spans="1:10" x14ac:dyDescent="0.25">
      <c r="A1" s="81"/>
      <c r="B1" s="81"/>
    </row>
    <row r="2" spans="1:10" ht="12.75" thickBot="1" x14ac:dyDescent="0.3">
      <c r="A2" s="83"/>
      <c r="B2" s="84"/>
      <c r="C2" s="84"/>
      <c r="D2" s="85"/>
      <c r="E2" s="86"/>
      <c r="F2" s="83"/>
      <c r="G2" s="87"/>
      <c r="H2" s="88"/>
    </row>
    <row r="3" spans="1:10" s="96" customFormat="1" ht="27.95" customHeight="1" thickBot="1" x14ac:dyDescent="0.3">
      <c r="A3" s="89" t="s">
        <v>4</v>
      </c>
      <c r="B3" s="89" t="s">
        <v>5</v>
      </c>
      <c r="C3" s="90" t="s">
        <v>994</v>
      </c>
      <c r="D3" s="91"/>
      <c r="E3" s="92" t="s">
        <v>9</v>
      </c>
      <c r="F3" s="93" t="s">
        <v>995</v>
      </c>
      <c r="G3" s="92" t="s">
        <v>996</v>
      </c>
      <c r="H3" s="94" t="s">
        <v>997</v>
      </c>
      <c r="I3" s="95"/>
      <c r="J3" s="95"/>
    </row>
    <row r="4" spans="1:10" ht="24.75" thickBot="1" x14ac:dyDescent="0.3">
      <c r="A4" s="97" t="s">
        <v>13</v>
      </c>
      <c r="B4" s="98">
        <f>SUM(B5,B11,B18,B21,B28,B38,B42,B50)</f>
        <v>16352072000</v>
      </c>
      <c r="C4" s="98"/>
      <c r="D4" s="98"/>
      <c r="E4" s="99">
        <f>SUM(E5,E11,E18,E21,E28,E38,E42,E50)</f>
        <v>0</v>
      </c>
      <c r="F4" s="98">
        <f>SUM(F5,F11,F18,F21,F28,F38,F42,F50)</f>
        <v>663145824</v>
      </c>
      <c r="G4" s="98">
        <f>SUM(G5,G11,G18,G21,G28,G38,G42,G50)</f>
        <v>15688926176</v>
      </c>
      <c r="H4" s="100">
        <f>AVERAGE(H5,H11,H18,H21,H28,H38,H42,H50)</f>
        <v>97.190609444997037</v>
      </c>
    </row>
    <row r="5" spans="1:10" ht="24.75" thickBot="1" x14ac:dyDescent="0.3">
      <c r="A5" s="101" t="s">
        <v>15</v>
      </c>
      <c r="B5" s="102">
        <f>SUM(B6,B9)</f>
        <v>148920000</v>
      </c>
      <c r="C5" s="103"/>
      <c r="D5" s="103"/>
      <c r="E5" s="104"/>
      <c r="F5" s="102">
        <f t="shared" ref="F5:F68" si="0">B5-G5</f>
        <v>1030084</v>
      </c>
      <c r="G5" s="102">
        <f>SUM(G6,G9)</f>
        <v>147889916</v>
      </c>
      <c r="H5" s="105">
        <f>AVERAGE(H6,H9)</f>
        <v>99.565401793118482</v>
      </c>
    </row>
    <row r="6" spans="1:10" ht="24.75" thickBot="1" x14ac:dyDescent="0.3">
      <c r="A6" s="106" t="s">
        <v>998</v>
      </c>
      <c r="B6" s="107">
        <f>SUM(B7:B8)</f>
        <v>83920000</v>
      </c>
      <c r="C6" s="108"/>
      <c r="D6" s="108"/>
      <c r="E6" s="109"/>
      <c r="F6" s="107">
        <f t="shared" si="0"/>
        <v>642584</v>
      </c>
      <c r="G6" s="107">
        <f>SUM(G7:G8)</f>
        <v>83277416</v>
      </c>
      <c r="H6" s="110">
        <f>AVERAGE(H7:H8)</f>
        <v>99.726957432390805</v>
      </c>
    </row>
    <row r="7" spans="1:10" ht="12.75" thickBot="1" x14ac:dyDescent="0.3">
      <c r="A7" s="111" t="s">
        <v>999</v>
      </c>
      <c r="B7" s="112">
        <v>18988000</v>
      </c>
      <c r="C7" s="111" t="s">
        <v>49</v>
      </c>
      <c r="D7" s="111" t="s">
        <v>194</v>
      </c>
      <c r="E7" s="112">
        <v>18700000</v>
      </c>
      <c r="F7" s="112">
        <f t="shared" si="0"/>
        <v>288000</v>
      </c>
      <c r="G7" s="112">
        <v>18700000</v>
      </c>
      <c r="H7" s="113">
        <v>100</v>
      </c>
    </row>
    <row r="8" spans="1:10" ht="12.75" thickBot="1" x14ac:dyDescent="0.3">
      <c r="A8" s="111" t="s">
        <v>73</v>
      </c>
      <c r="B8" s="112">
        <v>64932000</v>
      </c>
      <c r="C8" s="111" t="s">
        <v>19</v>
      </c>
      <c r="D8" s="111" t="s">
        <v>19</v>
      </c>
      <c r="E8" s="112">
        <v>0</v>
      </c>
      <c r="F8" s="112">
        <f t="shared" si="0"/>
        <v>354584</v>
      </c>
      <c r="G8" s="112">
        <v>64577416</v>
      </c>
      <c r="H8" s="113">
        <f t="shared" ref="H8:H13" si="1">G8/B8*100</f>
        <v>99.453914864781623</v>
      </c>
    </row>
    <row r="9" spans="1:10" ht="24.75" thickBot="1" x14ac:dyDescent="0.3">
      <c r="A9" s="106" t="s">
        <v>1000</v>
      </c>
      <c r="B9" s="107">
        <f>SUM(B10)</f>
        <v>65000000</v>
      </c>
      <c r="C9" s="108"/>
      <c r="D9" s="108"/>
      <c r="E9" s="109"/>
      <c r="F9" s="107">
        <f t="shared" si="0"/>
        <v>387500</v>
      </c>
      <c r="G9" s="107">
        <f>SUM(G10)</f>
        <v>64612500</v>
      </c>
      <c r="H9" s="110">
        <f t="shared" si="1"/>
        <v>99.40384615384616</v>
      </c>
    </row>
    <row r="10" spans="1:10" ht="12.75" thickBot="1" x14ac:dyDescent="0.3">
      <c r="A10" s="111" t="s">
        <v>18</v>
      </c>
      <c r="B10" s="112">
        <v>65000000</v>
      </c>
      <c r="C10" s="111" t="s">
        <v>19</v>
      </c>
      <c r="D10" s="111" t="s">
        <v>19</v>
      </c>
      <c r="E10" s="112">
        <v>0</v>
      </c>
      <c r="F10" s="112">
        <f t="shared" si="0"/>
        <v>387500</v>
      </c>
      <c r="G10" s="112">
        <v>64612500</v>
      </c>
      <c r="H10" s="113">
        <f t="shared" si="1"/>
        <v>99.40384615384616</v>
      </c>
    </row>
    <row r="11" spans="1:10" ht="12.75" thickBot="1" x14ac:dyDescent="0.3">
      <c r="A11" s="101" t="s">
        <v>23</v>
      </c>
      <c r="B11" s="102">
        <f>SUM(B12,B14,B16)</f>
        <v>9998362000</v>
      </c>
      <c r="C11" s="103"/>
      <c r="D11" s="103"/>
      <c r="E11" s="104"/>
      <c r="F11" s="102">
        <f t="shared" si="0"/>
        <v>377981012</v>
      </c>
      <c r="G11" s="102">
        <f>SUM(G12,G14,G16)</f>
        <v>9620380988</v>
      </c>
      <c r="H11" s="105">
        <f t="shared" si="1"/>
        <v>96.219570645671766</v>
      </c>
    </row>
    <row r="12" spans="1:10" ht="24.75" thickBot="1" x14ac:dyDescent="0.3">
      <c r="A12" s="106" t="s">
        <v>1001</v>
      </c>
      <c r="B12" s="107">
        <f>SUM(B13)</f>
        <v>9581362000</v>
      </c>
      <c r="C12" s="108"/>
      <c r="D12" s="108"/>
      <c r="E12" s="109"/>
      <c r="F12" s="107">
        <f t="shared" si="0"/>
        <v>348281512</v>
      </c>
      <c r="G12" s="107">
        <f>SUM(G13)</f>
        <v>9233080488</v>
      </c>
      <c r="H12" s="110">
        <f t="shared" si="1"/>
        <v>96.365010402487655</v>
      </c>
    </row>
    <row r="13" spans="1:10" ht="12.75" thickBot="1" x14ac:dyDescent="0.3">
      <c r="A13" s="111" t="s">
        <v>18</v>
      </c>
      <c r="B13" s="112">
        <v>9581362000</v>
      </c>
      <c r="C13" s="111" t="s">
        <v>19</v>
      </c>
      <c r="D13" s="111" t="s">
        <v>19</v>
      </c>
      <c r="E13" s="112">
        <v>0</v>
      </c>
      <c r="F13" s="112">
        <f t="shared" si="0"/>
        <v>348281512</v>
      </c>
      <c r="G13" s="112">
        <v>9233080488</v>
      </c>
      <c r="H13" s="113">
        <f t="shared" si="1"/>
        <v>96.365010402487655</v>
      </c>
    </row>
    <row r="14" spans="1:10" ht="24.75" thickBot="1" x14ac:dyDescent="0.3">
      <c r="A14" s="106" t="s">
        <v>1002</v>
      </c>
      <c r="B14" s="107">
        <f>SUM(B15)</f>
        <v>162820000</v>
      </c>
      <c r="C14" s="108"/>
      <c r="D14" s="108"/>
      <c r="E14" s="109"/>
      <c r="F14" s="107">
        <f t="shared" si="0"/>
        <v>11630000</v>
      </c>
      <c r="G14" s="107">
        <f>SUM(G15)</f>
        <v>151190000</v>
      </c>
      <c r="H14" s="110">
        <f>SUM(H15)</f>
        <v>92.857142857142861</v>
      </c>
    </row>
    <row r="15" spans="1:10" ht="12.75" thickBot="1" x14ac:dyDescent="0.3">
      <c r="A15" s="111" t="s">
        <v>18</v>
      </c>
      <c r="B15" s="112">
        <v>162820000</v>
      </c>
      <c r="C15" s="111" t="s">
        <v>19</v>
      </c>
      <c r="D15" s="111" t="s">
        <v>19</v>
      </c>
      <c r="E15" s="112">
        <v>0</v>
      </c>
      <c r="F15" s="112">
        <f t="shared" si="0"/>
        <v>11630000</v>
      </c>
      <c r="G15" s="112">
        <v>151190000</v>
      </c>
      <c r="H15" s="113">
        <f>G15/B15*100</f>
        <v>92.857142857142861</v>
      </c>
    </row>
    <row r="16" spans="1:10" ht="36.75" thickBot="1" x14ac:dyDescent="0.3">
      <c r="A16" s="106" t="s">
        <v>1003</v>
      </c>
      <c r="B16" s="107">
        <v>254180000</v>
      </c>
      <c r="C16" s="108"/>
      <c r="D16" s="108"/>
      <c r="E16" s="109"/>
      <c r="F16" s="107">
        <f t="shared" si="0"/>
        <v>18069500</v>
      </c>
      <c r="G16" s="107">
        <f>SUM(G17)</f>
        <v>236110500</v>
      </c>
      <c r="H16" s="110">
        <f>G16/B16*100</f>
        <v>92.891061452513966</v>
      </c>
    </row>
    <row r="17" spans="1:9" ht="12.75" thickBot="1" x14ac:dyDescent="0.3">
      <c r="A17" s="111" t="s">
        <v>18</v>
      </c>
      <c r="B17" s="112">
        <v>254180000</v>
      </c>
      <c r="C17" s="111" t="s">
        <v>19</v>
      </c>
      <c r="D17" s="111" t="s">
        <v>19</v>
      </c>
      <c r="E17" s="112">
        <v>0</v>
      </c>
      <c r="F17" s="112">
        <f t="shared" si="0"/>
        <v>18069500</v>
      </c>
      <c r="G17" s="112">
        <v>236110500</v>
      </c>
      <c r="H17" s="113">
        <f>G17/B17*100</f>
        <v>92.891061452513966</v>
      </c>
    </row>
    <row r="18" spans="1:9" ht="24.75" thickBot="1" x14ac:dyDescent="0.3">
      <c r="A18" s="101" t="s">
        <v>33</v>
      </c>
      <c r="B18" s="102">
        <f>SUM(B19)</f>
        <v>179460000</v>
      </c>
      <c r="C18" s="103"/>
      <c r="D18" s="103"/>
      <c r="E18" s="104"/>
      <c r="F18" s="102">
        <f t="shared" si="0"/>
        <v>2348682</v>
      </c>
      <c r="G18" s="102">
        <f>SUM(G19)</f>
        <v>177111318</v>
      </c>
      <c r="H18" s="105">
        <f>AVERAGE(H19)</f>
        <v>98.691250417920429</v>
      </c>
    </row>
    <row r="19" spans="1:9" ht="24.75" thickBot="1" x14ac:dyDescent="0.3">
      <c r="A19" s="106" t="s">
        <v>1004</v>
      </c>
      <c r="B19" s="107">
        <f>SUM(B20)</f>
        <v>179460000</v>
      </c>
      <c r="C19" s="108"/>
      <c r="D19" s="108"/>
      <c r="E19" s="109"/>
      <c r="F19" s="107">
        <f t="shared" si="0"/>
        <v>2348682</v>
      </c>
      <c r="G19" s="107">
        <f>SUM(G20)</f>
        <v>177111318</v>
      </c>
      <c r="H19" s="110">
        <f>G19/B19*100</f>
        <v>98.691250417920429</v>
      </c>
    </row>
    <row r="20" spans="1:9" ht="12.75" thickBot="1" x14ac:dyDescent="0.3">
      <c r="A20" s="111" t="s">
        <v>18</v>
      </c>
      <c r="B20" s="112">
        <v>179460000</v>
      </c>
      <c r="C20" s="111" t="s">
        <v>19</v>
      </c>
      <c r="D20" s="111" t="s">
        <v>19</v>
      </c>
      <c r="E20" s="112">
        <v>0</v>
      </c>
      <c r="F20" s="112">
        <f t="shared" si="0"/>
        <v>2348682</v>
      </c>
      <c r="G20" s="112">
        <v>177111318</v>
      </c>
      <c r="H20" s="113">
        <f>G20/B20*100</f>
        <v>98.691250417920429</v>
      </c>
    </row>
    <row r="21" spans="1:9" ht="12.75" thickBot="1" x14ac:dyDescent="0.3">
      <c r="A21" s="101" t="s">
        <v>37</v>
      </c>
      <c r="B21" s="102">
        <f>SUM(B22,B24,B26)</f>
        <v>90650000</v>
      </c>
      <c r="C21" s="103"/>
      <c r="D21" s="103"/>
      <c r="E21" s="104"/>
      <c r="F21" s="102">
        <f t="shared" si="0"/>
        <v>3117000</v>
      </c>
      <c r="G21" s="102">
        <f>SUM(G22,G24,G26)</f>
        <v>87533000</v>
      </c>
      <c r="H21" s="105">
        <f>AVERAGE(H22,H24,H26)</f>
        <v>97.583515881708649</v>
      </c>
    </row>
    <row r="22" spans="1:9" ht="24.75" thickBot="1" x14ac:dyDescent="0.3">
      <c r="A22" s="106" t="s">
        <v>1005</v>
      </c>
      <c r="B22" s="107">
        <v>25000000</v>
      </c>
      <c r="C22" s="108"/>
      <c r="D22" s="108"/>
      <c r="E22" s="109"/>
      <c r="F22" s="107">
        <f t="shared" si="0"/>
        <v>0</v>
      </c>
      <c r="G22" s="107">
        <f>SUM(G23)</f>
        <v>25000000</v>
      </c>
      <c r="H22" s="110">
        <f t="shared" ref="H22:H30" si="2">G22/B22*100</f>
        <v>100</v>
      </c>
    </row>
    <row r="23" spans="1:9" ht="12.75" thickBot="1" x14ac:dyDescent="0.3">
      <c r="A23" s="111" t="s">
        <v>18</v>
      </c>
      <c r="B23" s="112">
        <v>25000000</v>
      </c>
      <c r="C23" s="111" t="s">
        <v>19</v>
      </c>
      <c r="D23" s="111" t="s">
        <v>19</v>
      </c>
      <c r="E23" s="112">
        <v>0</v>
      </c>
      <c r="F23" s="112">
        <f t="shared" si="0"/>
        <v>0</v>
      </c>
      <c r="G23" s="112">
        <v>25000000</v>
      </c>
      <c r="H23" s="113">
        <f t="shared" si="2"/>
        <v>100</v>
      </c>
    </row>
    <row r="24" spans="1:9" ht="24.75" thickBot="1" x14ac:dyDescent="0.3">
      <c r="A24" s="106" t="s">
        <v>1006</v>
      </c>
      <c r="B24" s="107">
        <v>20000000</v>
      </c>
      <c r="C24" s="108"/>
      <c r="D24" s="108"/>
      <c r="E24" s="109"/>
      <c r="F24" s="107">
        <f t="shared" si="0"/>
        <v>150000</v>
      </c>
      <c r="G24" s="109">
        <f>SUM(G25)</f>
        <v>19850000</v>
      </c>
      <c r="H24" s="114">
        <f t="shared" si="2"/>
        <v>99.25</v>
      </c>
    </row>
    <row r="25" spans="1:9" ht="12.75" thickBot="1" x14ac:dyDescent="0.3">
      <c r="A25" s="111" t="s">
        <v>18</v>
      </c>
      <c r="B25" s="112">
        <v>20000000</v>
      </c>
      <c r="C25" s="111" t="s">
        <v>19</v>
      </c>
      <c r="D25" s="111" t="s">
        <v>19</v>
      </c>
      <c r="E25" s="112">
        <v>0</v>
      </c>
      <c r="F25" s="112">
        <f t="shared" si="0"/>
        <v>150000</v>
      </c>
      <c r="G25" s="112">
        <v>19850000</v>
      </c>
      <c r="H25" s="113">
        <f t="shared" si="2"/>
        <v>99.25</v>
      </c>
    </row>
    <row r="26" spans="1:9" ht="36.75" thickBot="1" x14ac:dyDescent="0.3">
      <c r="A26" s="106" t="s">
        <v>1007</v>
      </c>
      <c r="B26" s="107">
        <v>45650000</v>
      </c>
      <c r="C26" s="108"/>
      <c r="D26" s="108"/>
      <c r="E26" s="109"/>
      <c r="F26" s="107">
        <f t="shared" si="0"/>
        <v>2967000</v>
      </c>
      <c r="G26" s="107">
        <f>SUM(G27)</f>
        <v>42683000</v>
      </c>
      <c r="H26" s="110">
        <f t="shared" si="2"/>
        <v>93.500547645125948</v>
      </c>
    </row>
    <row r="27" spans="1:9" ht="12.75" thickBot="1" x14ac:dyDescent="0.3">
      <c r="A27" s="111" t="s">
        <v>18</v>
      </c>
      <c r="B27" s="112">
        <v>45650000</v>
      </c>
      <c r="C27" s="111" t="s">
        <v>19</v>
      </c>
      <c r="D27" s="111" t="s">
        <v>19</v>
      </c>
      <c r="E27" s="112">
        <v>0</v>
      </c>
      <c r="F27" s="112">
        <f t="shared" si="0"/>
        <v>2967000</v>
      </c>
      <c r="G27" s="112">
        <v>42683000</v>
      </c>
      <c r="H27" s="113">
        <f t="shared" si="2"/>
        <v>93.500547645125948</v>
      </c>
    </row>
    <row r="28" spans="1:9" ht="12.75" thickBot="1" x14ac:dyDescent="0.3">
      <c r="A28" s="101" t="s">
        <v>45</v>
      </c>
      <c r="B28" s="102">
        <f>SUM(B29,B33,B35)</f>
        <v>547360000</v>
      </c>
      <c r="C28" s="103"/>
      <c r="D28" s="103"/>
      <c r="E28" s="104"/>
      <c r="F28" s="102">
        <f t="shared" si="0"/>
        <v>25549700</v>
      </c>
      <c r="G28" s="102">
        <f>SUM(G29,G33,G35)</f>
        <v>521810300</v>
      </c>
      <c r="H28" s="105">
        <f t="shared" si="2"/>
        <v>95.332194533762063</v>
      </c>
    </row>
    <row r="29" spans="1:9" ht="24.75" thickBot="1" x14ac:dyDescent="0.3">
      <c r="A29" s="106" t="s">
        <v>1008</v>
      </c>
      <c r="B29" s="107">
        <f>SUM(B30:B32)</f>
        <v>352360000</v>
      </c>
      <c r="C29" s="108"/>
      <c r="D29" s="108"/>
      <c r="E29" s="109"/>
      <c r="F29" s="107">
        <f t="shared" si="0"/>
        <v>293700</v>
      </c>
      <c r="G29" s="107">
        <f>SUM(G30:G32)</f>
        <v>352066300</v>
      </c>
      <c r="H29" s="110">
        <f t="shared" si="2"/>
        <v>99.916647746622772</v>
      </c>
    </row>
    <row r="30" spans="1:9" ht="12.75" thickBot="1" x14ac:dyDescent="0.3">
      <c r="A30" s="111" t="s">
        <v>18</v>
      </c>
      <c r="B30" s="112">
        <v>229966500</v>
      </c>
      <c r="C30" s="111" t="s">
        <v>19</v>
      </c>
      <c r="D30" s="111" t="s">
        <v>19</v>
      </c>
      <c r="E30" s="112">
        <v>0</v>
      </c>
      <c r="F30" s="112">
        <f t="shared" si="0"/>
        <v>128700</v>
      </c>
      <c r="G30" s="112">
        <v>229837800</v>
      </c>
      <c r="H30" s="113">
        <f t="shared" si="2"/>
        <v>99.944035326884574</v>
      </c>
      <c r="I30" s="81">
        <f>215041040-G31</f>
        <v>155983540</v>
      </c>
    </row>
    <row r="31" spans="1:9" ht="24.75" thickBot="1" x14ac:dyDescent="0.3">
      <c r="A31" s="111" t="s">
        <v>1009</v>
      </c>
      <c r="B31" s="112">
        <v>59222500</v>
      </c>
      <c r="C31" s="111" t="s">
        <v>49</v>
      </c>
      <c r="D31" s="111" t="s">
        <v>50</v>
      </c>
      <c r="E31" s="112">
        <v>59057500</v>
      </c>
      <c r="F31" s="112">
        <f t="shared" si="0"/>
        <v>165000</v>
      </c>
      <c r="G31" s="112">
        <v>59057500</v>
      </c>
      <c r="H31" s="113">
        <v>100</v>
      </c>
    </row>
    <row r="32" spans="1:9" ht="24.75" thickBot="1" x14ac:dyDescent="0.3">
      <c r="A32" s="111" t="s">
        <v>1010</v>
      </c>
      <c r="B32" s="112">
        <v>63171000</v>
      </c>
      <c r="C32" s="111" t="s">
        <v>49</v>
      </c>
      <c r="D32" s="111" t="s">
        <v>50</v>
      </c>
      <c r="E32" s="112">
        <v>63171000</v>
      </c>
      <c r="F32" s="112">
        <f t="shared" si="0"/>
        <v>0</v>
      </c>
      <c r="G32" s="112">
        <v>63171000</v>
      </c>
      <c r="H32" s="113">
        <f t="shared" ref="H32:H37" si="3">G32/B32*100</f>
        <v>100</v>
      </c>
    </row>
    <row r="33" spans="1:10" ht="24.75" thickBot="1" x14ac:dyDescent="0.3">
      <c r="A33" s="106" t="s">
        <v>1011</v>
      </c>
      <c r="B33" s="107">
        <v>25000000</v>
      </c>
      <c r="C33" s="108"/>
      <c r="D33" s="108"/>
      <c r="E33" s="109"/>
      <c r="F33" s="107">
        <f t="shared" si="0"/>
        <v>6000</v>
      </c>
      <c r="G33" s="107">
        <f>SUM(G34)</f>
        <v>24994000</v>
      </c>
      <c r="H33" s="110">
        <f t="shared" si="3"/>
        <v>99.975999999999999</v>
      </c>
    </row>
    <row r="34" spans="1:10" ht="12.75" thickBot="1" x14ac:dyDescent="0.3">
      <c r="A34" s="111" t="s">
        <v>18</v>
      </c>
      <c r="B34" s="112">
        <v>25000000</v>
      </c>
      <c r="C34" s="111" t="s">
        <v>19</v>
      </c>
      <c r="D34" s="111" t="s">
        <v>19</v>
      </c>
      <c r="E34" s="112">
        <v>0</v>
      </c>
      <c r="F34" s="112">
        <f t="shared" si="0"/>
        <v>6000</v>
      </c>
      <c r="G34" s="112">
        <v>24994000</v>
      </c>
      <c r="H34" s="113">
        <f t="shared" si="3"/>
        <v>99.975999999999999</v>
      </c>
    </row>
    <row r="35" spans="1:10" ht="24.75" thickBot="1" x14ac:dyDescent="0.3">
      <c r="A35" s="106" t="s">
        <v>1012</v>
      </c>
      <c r="B35" s="107">
        <f>SUM(B36:B37)</f>
        <v>170000000</v>
      </c>
      <c r="C35" s="108"/>
      <c r="D35" s="108"/>
      <c r="E35" s="109"/>
      <c r="F35" s="107">
        <f t="shared" si="0"/>
        <v>25250000</v>
      </c>
      <c r="G35" s="107">
        <f>SUM(G36:G37)</f>
        <v>144750000</v>
      </c>
      <c r="H35" s="110">
        <f t="shared" si="3"/>
        <v>85.147058823529406</v>
      </c>
    </row>
    <row r="36" spans="1:10" ht="12.75" thickBot="1" x14ac:dyDescent="0.3">
      <c r="A36" s="111" t="s">
        <v>1013</v>
      </c>
      <c r="B36" s="112">
        <v>160000000</v>
      </c>
      <c r="C36" s="111" t="s">
        <v>19</v>
      </c>
      <c r="D36" s="111" t="s">
        <v>72</v>
      </c>
      <c r="E36" s="112">
        <v>0</v>
      </c>
      <c r="F36" s="112">
        <f t="shared" si="0"/>
        <v>22265000</v>
      </c>
      <c r="G36" s="112">
        <f>135100000+2635000</f>
        <v>137735000</v>
      </c>
      <c r="H36" s="113">
        <f t="shared" si="3"/>
        <v>86.084375000000009</v>
      </c>
      <c r="J36" s="81">
        <f>37635000-G37</f>
        <v>30620000</v>
      </c>
    </row>
    <row r="37" spans="1:10" ht="12.75" thickBot="1" x14ac:dyDescent="0.3">
      <c r="A37" s="111" t="s">
        <v>73</v>
      </c>
      <c r="B37" s="112">
        <v>10000000</v>
      </c>
      <c r="C37" s="111" t="s">
        <v>19</v>
      </c>
      <c r="D37" s="111" t="s">
        <v>19</v>
      </c>
      <c r="E37" s="112">
        <v>0</v>
      </c>
      <c r="F37" s="112">
        <f t="shared" si="0"/>
        <v>2985000</v>
      </c>
      <c r="G37" s="112">
        <v>7015000</v>
      </c>
      <c r="H37" s="113">
        <f t="shared" si="3"/>
        <v>70.150000000000006</v>
      </c>
    </row>
    <row r="38" spans="1:10" ht="24.75" thickBot="1" x14ac:dyDescent="0.3">
      <c r="A38" s="101" t="s">
        <v>58</v>
      </c>
      <c r="B38" s="102">
        <f>B39</f>
        <v>543400000</v>
      </c>
      <c r="C38" s="103"/>
      <c r="D38" s="103"/>
      <c r="E38" s="104"/>
      <c r="F38" s="102">
        <f t="shared" si="0"/>
        <v>15644000</v>
      </c>
      <c r="G38" s="102">
        <f>SUM(G39)</f>
        <v>527756000</v>
      </c>
      <c r="H38" s="105">
        <f>AVERAGE(H39)</f>
        <v>97.12</v>
      </c>
    </row>
    <row r="39" spans="1:10" ht="24.75" thickBot="1" x14ac:dyDescent="0.3">
      <c r="A39" s="106" t="s">
        <v>1014</v>
      </c>
      <c r="B39" s="107">
        <f>SUM(B40:B41)</f>
        <v>543400000</v>
      </c>
      <c r="C39" s="108"/>
      <c r="D39" s="108"/>
      <c r="E39" s="109"/>
      <c r="F39" s="107">
        <f t="shared" si="0"/>
        <v>15644000</v>
      </c>
      <c r="G39" s="107">
        <f>SUM(G40:G41)</f>
        <v>527756000</v>
      </c>
      <c r="H39" s="110">
        <v>97.12</v>
      </c>
    </row>
    <row r="40" spans="1:10" ht="24.75" thickBot="1" x14ac:dyDescent="0.3">
      <c r="A40" s="111" t="s">
        <v>1015</v>
      </c>
      <c r="B40" s="112">
        <v>310732000</v>
      </c>
      <c r="C40" s="111" t="s">
        <v>49</v>
      </c>
      <c r="D40" s="111" t="s">
        <v>50</v>
      </c>
      <c r="E40" s="112">
        <v>309000000</v>
      </c>
      <c r="F40" s="112">
        <f t="shared" si="0"/>
        <v>1732000</v>
      </c>
      <c r="G40" s="112">
        <v>309000000</v>
      </c>
      <c r="H40" s="113">
        <v>100</v>
      </c>
      <c r="I40" s="81">
        <f>517201000-309000000</f>
        <v>208201000</v>
      </c>
    </row>
    <row r="41" spans="1:10" ht="12.75" thickBot="1" x14ac:dyDescent="0.3">
      <c r="A41" s="111" t="s">
        <v>73</v>
      </c>
      <c r="B41" s="112">
        <v>232668000</v>
      </c>
      <c r="C41" s="111" t="s">
        <v>19</v>
      </c>
      <c r="D41" s="111" t="s">
        <v>19</v>
      </c>
      <c r="E41" s="112">
        <v>0</v>
      </c>
      <c r="F41" s="112">
        <f t="shared" si="0"/>
        <v>13912000</v>
      </c>
      <c r="G41" s="112">
        <f>208201000+7840000+2715000</f>
        <v>218756000</v>
      </c>
      <c r="H41" s="113">
        <f>G41/B41*100</f>
        <v>94.020664638024996</v>
      </c>
    </row>
    <row r="42" spans="1:10" ht="24.75" thickBot="1" x14ac:dyDescent="0.3">
      <c r="A42" s="101" t="s">
        <v>66</v>
      </c>
      <c r="B42" s="102">
        <f>SUM(B43,B45)</f>
        <v>2553240000</v>
      </c>
      <c r="C42" s="103"/>
      <c r="D42" s="103"/>
      <c r="E42" s="104"/>
      <c r="F42" s="102">
        <f t="shared" si="0"/>
        <v>187116882</v>
      </c>
      <c r="G42" s="102">
        <f>SUM(G43,G45)</f>
        <v>2366123118</v>
      </c>
      <c r="H42" s="105">
        <f>AVERAGE(H45,H43)</f>
        <v>94.218732283627219</v>
      </c>
    </row>
    <row r="43" spans="1:10" ht="24.75" thickBot="1" x14ac:dyDescent="0.3">
      <c r="A43" s="106" t="s">
        <v>1016</v>
      </c>
      <c r="B43" s="107">
        <f>B44</f>
        <v>345000000</v>
      </c>
      <c r="C43" s="108"/>
      <c r="D43" s="108"/>
      <c r="E43" s="109"/>
      <c r="F43" s="107">
        <f t="shared" si="0"/>
        <v>21039140</v>
      </c>
      <c r="G43" s="107">
        <f>SUM(G44)</f>
        <v>323960860</v>
      </c>
      <c r="H43" s="110">
        <f>G43/B43*100</f>
        <v>93.901698550724632</v>
      </c>
    </row>
    <row r="44" spans="1:10" ht="12.75" thickBot="1" x14ac:dyDescent="0.3">
      <c r="A44" s="111" t="s">
        <v>18</v>
      </c>
      <c r="B44" s="112">
        <v>345000000</v>
      </c>
      <c r="C44" s="111" t="s">
        <v>19</v>
      </c>
      <c r="D44" s="111" t="s">
        <v>19</v>
      </c>
      <c r="E44" s="112">
        <v>0</v>
      </c>
      <c r="F44" s="112">
        <f t="shared" si="0"/>
        <v>21039140</v>
      </c>
      <c r="G44" s="112">
        <v>323960860</v>
      </c>
      <c r="H44" s="113">
        <f>G44/B44*100</f>
        <v>93.901698550724632</v>
      </c>
    </row>
    <row r="45" spans="1:10" ht="24.75" thickBot="1" x14ac:dyDescent="0.3">
      <c r="A45" s="106" t="s">
        <v>1017</v>
      </c>
      <c r="B45" s="107">
        <f>SUM(B46:B49)</f>
        <v>2208240000</v>
      </c>
      <c r="C45" s="108"/>
      <c r="D45" s="108"/>
      <c r="E45" s="109"/>
      <c r="F45" s="107">
        <f t="shared" si="0"/>
        <v>166077742</v>
      </c>
      <c r="G45" s="107">
        <f>SUM(G46:G49)</f>
        <v>2042162258</v>
      </c>
      <c r="H45" s="110">
        <f>AVERAGE(H46:H49)</f>
        <v>94.535766016529792</v>
      </c>
      <c r="J45" s="81">
        <f>1215223002-G45</f>
        <v>-826939256</v>
      </c>
    </row>
    <row r="46" spans="1:10" ht="12.75" thickBot="1" x14ac:dyDescent="0.3">
      <c r="A46" s="111" t="s">
        <v>71</v>
      </c>
      <c r="B46" s="112">
        <v>958800000</v>
      </c>
      <c r="C46" s="111" t="s">
        <v>49</v>
      </c>
      <c r="D46" s="111" t="s">
        <v>72</v>
      </c>
      <c r="E46" s="112">
        <f>B46</f>
        <v>958800000</v>
      </c>
      <c r="F46" s="112">
        <f t="shared" si="0"/>
        <v>0</v>
      </c>
      <c r="G46" s="112">
        <f>159800000+79900000+79900000+79900000+79900000+79900000+79900000+79900000+79900000+79900000+79900000</f>
        <v>958800000</v>
      </c>
      <c r="H46" s="113">
        <f>G46/B46*100</f>
        <v>100</v>
      </c>
      <c r="J46" s="81">
        <f>SUM(G46:G48)</f>
        <v>1448400000</v>
      </c>
    </row>
    <row r="47" spans="1:10" ht="12.75" thickBot="1" x14ac:dyDescent="0.3">
      <c r="A47" s="111" t="s">
        <v>1018</v>
      </c>
      <c r="B47" s="112">
        <v>285600000</v>
      </c>
      <c r="C47" s="111" t="s">
        <v>49</v>
      </c>
      <c r="D47" s="111" t="s">
        <v>72</v>
      </c>
      <c r="E47" s="112">
        <f>B47</f>
        <v>285600000</v>
      </c>
      <c r="F47" s="112">
        <f t="shared" si="0"/>
        <v>0</v>
      </c>
      <c r="G47" s="112">
        <f>47600000+23800000+23800000+23800000+23800000+23800000+23800000+23800000+23800000+23800000+23800000</f>
        <v>285600000</v>
      </c>
      <c r="H47" s="113">
        <f>G47/B47*100</f>
        <v>100</v>
      </c>
    </row>
    <row r="48" spans="1:10" ht="12.75" thickBot="1" x14ac:dyDescent="0.3">
      <c r="A48" s="111" t="s">
        <v>1019</v>
      </c>
      <c r="B48" s="112">
        <v>204000000</v>
      </c>
      <c r="C48" s="111" t="s">
        <v>49</v>
      </c>
      <c r="D48" s="111" t="s">
        <v>72</v>
      </c>
      <c r="E48" s="112">
        <f>B48</f>
        <v>204000000</v>
      </c>
      <c r="F48" s="112">
        <f t="shared" si="0"/>
        <v>0</v>
      </c>
      <c r="G48" s="112">
        <f>34000000+17000000+17000000+17000000+17000000+17000000+17000000+17000000+17000000+17000000+17000000</f>
        <v>204000000</v>
      </c>
      <c r="H48" s="113">
        <f>G48/B48*100</f>
        <v>100</v>
      </c>
    </row>
    <row r="49" spans="1:10" ht="12.75" thickBot="1" x14ac:dyDescent="0.3">
      <c r="A49" s="111" t="s">
        <v>64</v>
      </c>
      <c r="B49" s="112">
        <f>770100000-10260000</f>
        <v>759840000</v>
      </c>
      <c r="C49" s="111" t="s">
        <v>19</v>
      </c>
      <c r="D49" s="111" t="s">
        <v>19</v>
      </c>
      <c r="E49" s="112">
        <v>0</v>
      </c>
      <c r="F49" s="112">
        <f t="shared" si="0"/>
        <v>166077742</v>
      </c>
      <c r="G49" s="112">
        <v>593762258</v>
      </c>
      <c r="H49" s="113">
        <f>G49/B49*100</f>
        <v>78.14306406611918</v>
      </c>
    </row>
    <row r="50" spans="1:10" ht="24.75" thickBot="1" x14ac:dyDescent="0.3">
      <c r="A50" s="101" t="s">
        <v>75</v>
      </c>
      <c r="B50" s="102">
        <f>SUM(B51,B53,B56,B58,B60)</f>
        <v>2290680000</v>
      </c>
      <c r="C50" s="103"/>
      <c r="D50" s="103"/>
      <c r="E50" s="104"/>
      <c r="F50" s="102">
        <f t="shared" si="0"/>
        <v>50358464</v>
      </c>
      <c r="G50" s="102">
        <f>SUM(G51,G53,G56,G58,G60)</f>
        <v>2240321536</v>
      </c>
      <c r="H50" s="105">
        <f>AVERAGE(H51,H53,H56,H58,H60)</f>
        <v>98.794210004167667</v>
      </c>
    </row>
    <row r="51" spans="1:10" ht="36.75" thickBot="1" x14ac:dyDescent="0.3">
      <c r="A51" s="106" t="s">
        <v>1020</v>
      </c>
      <c r="B51" s="107">
        <f>B52</f>
        <v>645200000</v>
      </c>
      <c r="C51" s="108"/>
      <c r="D51" s="108"/>
      <c r="E51" s="109"/>
      <c r="F51" s="107">
        <f t="shared" si="0"/>
        <v>33214900</v>
      </c>
      <c r="G51" s="107">
        <f>SUM(G52)</f>
        <v>611985100</v>
      </c>
      <c r="H51" s="110">
        <f>G51/B51*100</f>
        <v>94.851999380037199</v>
      </c>
    </row>
    <row r="52" spans="1:10" ht="12.75" thickBot="1" x14ac:dyDescent="0.3">
      <c r="A52" s="111" t="s">
        <v>18</v>
      </c>
      <c r="B52" s="112">
        <v>645200000</v>
      </c>
      <c r="C52" s="111" t="s">
        <v>19</v>
      </c>
      <c r="D52" s="111" t="s">
        <v>19</v>
      </c>
      <c r="E52" s="112">
        <v>0</v>
      </c>
      <c r="F52" s="112">
        <f t="shared" si="0"/>
        <v>33214900</v>
      </c>
      <c r="G52" s="112">
        <v>611985100</v>
      </c>
      <c r="H52" s="113">
        <f>G52/B52*100</f>
        <v>94.851999380037199</v>
      </c>
    </row>
    <row r="53" spans="1:10" ht="36.75" thickBot="1" x14ac:dyDescent="0.3">
      <c r="A53" s="106" t="s">
        <v>1021</v>
      </c>
      <c r="B53" s="107">
        <v>624800000</v>
      </c>
      <c r="C53" s="108"/>
      <c r="D53" s="108"/>
      <c r="E53" s="109"/>
      <c r="F53" s="107">
        <f t="shared" si="0"/>
        <v>3073514</v>
      </c>
      <c r="G53" s="107">
        <f>SUM(G54:G55)</f>
        <v>621726486</v>
      </c>
      <c r="H53" s="110">
        <f>AVERAGE(H54:H55)</f>
        <v>99.645768239387678</v>
      </c>
    </row>
    <row r="54" spans="1:10" s="119" customFormat="1" ht="36.75" thickBot="1" x14ac:dyDescent="0.3">
      <c r="A54" s="115" t="s">
        <v>1022</v>
      </c>
      <c r="B54" s="116">
        <v>51167000</v>
      </c>
      <c r="C54" s="115" t="s">
        <v>19</v>
      </c>
      <c r="D54" s="115" t="s">
        <v>19</v>
      </c>
      <c r="E54" s="116">
        <v>0</v>
      </c>
      <c r="F54" s="116">
        <f t="shared" si="0"/>
        <v>97000</v>
      </c>
      <c r="G54" s="116">
        <v>51070000</v>
      </c>
      <c r="H54" s="117">
        <f t="shared" ref="H54:H59" si="4">G54/B54*100</f>
        <v>99.810424687787048</v>
      </c>
      <c r="I54" s="118"/>
      <c r="J54" s="118"/>
    </row>
    <row r="55" spans="1:10" s="119" customFormat="1" ht="12.75" thickBot="1" x14ac:dyDescent="0.3">
      <c r="A55" s="115" t="s">
        <v>73</v>
      </c>
      <c r="B55" s="116">
        <f>574800000-1167000</f>
        <v>573633000</v>
      </c>
      <c r="C55" s="115" t="s">
        <v>19</v>
      </c>
      <c r="D55" s="115" t="s">
        <v>19</v>
      </c>
      <c r="E55" s="116">
        <v>0</v>
      </c>
      <c r="F55" s="116">
        <f t="shared" si="0"/>
        <v>2976514</v>
      </c>
      <c r="G55" s="116">
        <v>570656486</v>
      </c>
      <c r="H55" s="117">
        <f t="shared" si="4"/>
        <v>99.481111790988322</v>
      </c>
      <c r="I55" s="118"/>
      <c r="J55" s="118"/>
    </row>
    <row r="56" spans="1:10" ht="24.75" thickBot="1" x14ac:dyDescent="0.3">
      <c r="A56" s="106" t="s">
        <v>1023</v>
      </c>
      <c r="B56" s="107">
        <v>25000000</v>
      </c>
      <c r="C56" s="108"/>
      <c r="D56" s="108"/>
      <c r="E56" s="109"/>
      <c r="F56" s="107">
        <f t="shared" si="0"/>
        <v>75000</v>
      </c>
      <c r="G56" s="107">
        <f>SUM(G57)</f>
        <v>24925000</v>
      </c>
      <c r="H56" s="110">
        <f t="shared" si="4"/>
        <v>99.7</v>
      </c>
    </row>
    <row r="57" spans="1:10" ht="12.75" thickBot="1" x14ac:dyDescent="0.3">
      <c r="A57" s="111" t="s">
        <v>18</v>
      </c>
      <c r="B57" s="112">
        <v>25000000</v>
      </c>
      <c r="C57" s="111" t="s">
        <v>19</v>
      </c>
      <c r="D57" s="111" t="s">
        <v>19</v>
      </c>
      <c r="E57" s="112">
        <v>0</v>
      </c>
      <c r="F57" s="112">
        <f t="shared" si="0"/>
        <v>75000</v>
      </c>
      <c r="G57" s="112">
        <v>24925000</v>
      </c>
      <c r="H57" s="113">
        <f t="shared" si="4"/>
        <v>99.7</v>
      </c>
    </row>
    <row r="58" spans="1:10" ht="24.75" thickBot="1" x14ac:dyDescent="0.3">
      <c r="A58" s="106" t="s">
        <v>1024</v>
      </c>
      <c r="B58" s="107">
        <v>185000000</v>
      </c>
      <c r="C58" s="108"/>
      <c r="D58" s="108"/>
      <c r="E58" s="109"/>
      <c r="F58" s="107">
        <f t="shared" si="0"/>
        <v>41800</v>
      </c>
      <c r="G58" s="107">
        <f>SUM(G59)</f>
        <v>184958200</v>
      </c>
      <c r="H58" s="110">
        <f t="shared" si="4"/>
        <v>99.977405405405406</v>
      </c>
    </row>
    <row r="59" spans="1:10" ht="12.75" thickBot="1" x14ac:dyDescent="0.3">
      <c r="A59" s="111" t="s">
        <v>18</v>
      </c>
      <c r="B59" s="112">
        <v>185000000</v>
      </c>
      <c r="C59" s="111" t="s">
        <v>19</v>
      </c>
      <c r="D59" s="111" t="s">
        <v>19</v>
      </c>
      <c r="E59" s="112">
        <v>0</v>
      </c>
      <c r="F59" s="112">
        <f t="shared" si="0"/>
        <v>41800</v>
      </c>
      <c r="G59" s="112">
        <v>184958200</v>
      </c>
      <c r="H59" s="113">
        <f t="shared" si="4"/>
        <v>99.977405405405406</v>
      </c>
    </row>
    <row r="60" spans="1:10" ht="36.75" thickBot="1" x14ac:dyDescent="0.3">
      <c r="A60" s="106" t="s">
        <v>1025</v>
      </c>
      <c r="B60" s="107">
        <f>SUM(B61:B68)</f>
        <v>810680000</v>
      </c>
      <c r="C60" s="108"/>
      <c r="D60" s="108"/>
      <c r="E60" s="109"/>
      <c r="F60" s="107">
        <f t="shared" si="0"/>
        <v>13953250</v>
      </c>
      <c r="G60" s="107">
        <f>SUM(G61:G68)</f>
        <v>796726750</v>
      </c>
      <c r="H60" s="110">
        <f>AVERAGE(H61:H68)</f>
        <v>99.795876996007991</v>
      </c>
    </row>
    <row r="61" spans="1:10" ht="24.75" thickBot="1" x14ac:dyDescent="0.3">
      <c r="A61" s="111" t="s">
        <v>1026</v>
      </c>
      <c r="B61" s="112">
        <v>200000000</v>
      </c>
      <c r="C61" s="111" t="s">
        <v>49</v>
      </c>
      <c r="D61" s="111" t="s">
        <v>89</v>
      </c>
      <c r="E61" s="112">
        <v>199800000</v>
      </c>
      <c r="F61" s="112">
        <f t="shared" si="0"/>
        <v>3350000</v>
      </c>
      <c r="G61" s="112">
        <v>196650000</v>
      </c>
      <c r="H61" s="113">
        <v>100</v>
      </c>
    </row>
    <row r="62" spans="1:10" ht="36.75" thickBot="1" x14ac:dyDescent="0.3">
      <c r="A62" s="111" t="s">
        <v>1027</v>
      </c>
      <c r="B62" s="112">
        <v>45000000</v>
      </c>
      <c r="C62" s="111" t="s">
        <v>49</v>
      </c>
      <c r="D62" s="111" t="s">
        <v>89</v>
      </c>
      <c r="E62" s="112">
        <v>44438000</v>
      </c>
      <c r="F62" s="112">
        <f t="shared" si="0"/>
        <v>562000</v>
      </c>
      <c r="G62" s="112">
        <v>44438000</v>
      </c>
      <c r="H62" s="113">
        <v>100</v>
      </c>
    </row>
    <row r="63" spans="1:10" ht="36.75" thickBot="1" x14ac:dyDescent="0.3">
      <c r="A63" s="111" t="s">
        <v>1028</v>
      </c>
      <c r="B63" s="112">
        <v>45000000</v>
      </c>
      <c r="C63" s="111" t="s">
        <v>49</v>
      </c>
      <c r="D63" s="111" t="s">
        <v>89</v>
      </c>
      <c r="E63" s="112">
        <v>43856000</v>
      </c>
      <c r="F63" s="112">
        <f t="shared" si="0"/>
        <v>1144000</v>
      </c>
      <c r="G63" s="112">
        <v>43856000</v>
      </c>
      <c r="H63" s="113">
        <v>100</v>
      </c>
    </row>
    <row r="64" spans="1:10" ht="36.75" thickBot="1" x14ac:dyDescent="0.3">
      <c r="A64" s="111" t="s">
        <v>1029</v>
      </c>
      <c r="B64" s="112">
        <v>45000000</v>
      </c>
      <c r="C64" s="111" t="s">
        <v>49</v>
      </c>
      <c r="D64" s="111" t="s">
        <v>89</v>
      </c>
      <c r="E64" s="112">
        <v>44121000</v>
      </c>
      <c r="F64" s="112">
        <f t="shared" si="0"/>
        <v>879000</v>
      </c>
      <c r="G64" s="112">
        <v>44121000</v>
      </c>
      <c r="H64" s="113">
        <v>100</v>
      </c>
    </row>
    <row r="65" spans="1:9" ht="36.75" thickBot="1" x14ac:dyDescent="0.3">
      <c r="A65" s="111" t="s">
        <v>1030</v>
      </c>
      <c r="B65" s="112">
        <v>45000000</v>
      </c>
      <c r="C65" s="111" t="s">
        <v>49</v>
      </c>
      <c r="D65" s="111" t="s">
        <v>89</v>
      </c>
      <c r="E65" s="112">
        <v>44175000</v>
      </c>
      <c r="F65" s="112">
        <f t="shared" si="0"/>
        <v>825000</v>
      </c>
      <c r="G65" s="112">
        <v>44175000</v>
      </c>
      <c r="H65" s="113">
        <v>100</v>
      </c>
      <c r="I65" s="81">
        <f>66272500-G65</f>
        <v>22097500</v>
      </c>
    </row>
    <row r="66" spans="1:9" ht="36.75" thickBot="1" x14ac:dyDescent="0.3">
      <c r="A66" s="111" t="s">
        <v>1031</v>
      </c>
      <c r="B66" s="112">
        <v>45000000</v>
      </c>
      <c r="C66" s="111" t="s">
        <v>49</v>
      </c>
      <c r="D66" s="111" t="s">
        <v>89</v>
      </c>
      <c r="E66" s="112">
        <v>43912000</v>
      </c>
      <c r="F66" s="112">
        <f t="shared" si="0"/>
        <v>1088000</v>
      </c>
      <c r="G66" s="112">
        <v>43912000</v>
      </c>
      <c r="H66" s="113">
        <v>100</v>
      </c>
    </row>
    <row r="67" spans="1:9" ht="36.75" thickBot="1" x14ac:dyDescent="0.3">
      <c r="A67" s="111" t="s">
        <v>1032</v>
      </c>
      <c r="B67" s="112">
        <v>45000000</v>
      </c>
      <c r="C67" s="111" t="s">
        <v>49</v>
      </c>
      <c r="D67" s="111" t="s">
        <v>89</v>
      </c>
      <c r="E67" s="112">
        <v>44458000</v>
      </c>
      <c r="F67" s="112">
        <f t="shared" si="0"/>
        <v>542000</v>
      </c>
      <c r="G67" s="112">
        <v>44458000</v>
      </c>
      <c r="H67" s="113">
        <v>100</v>
      </c>
    </row>
    <row r="68" spans="1:9" ht="12.75" thickBot="1" x14ac:dyDescent="0.3">
      <c r="A68" s="111" t="s">
        <v>96</v>
      </c>
      <c r="B68" s="112">
        <f>330000000+10680000</f>
        <v>340680000</v>
      </c>
      <c r="C68" s="111" t="s">
        <v>19</v>
      </c>
      <c r="D68" s="111" t="s">
        <v>19</v>
      </c>
      <c r="E68" s="112">
        <v>0</v>
      </c>
      <c r="F68" s="112">
        <f t="shared" si="0"/>
        <v>5563250</v>
      </c>
      <c r="G68" s="112">
        <f>188881000+22097500+60605000+47464000+9449250+6620000</f>
        <v>335116750</v>
      </c>
      <c r="H68" s="113">
        <f>G68/B68*100</f>
        <v>98.367015968063882</v>
      </c>
    </row>
    <row r="69" spans="1:9" ht="12.75" thickBot="1" x14ac:dyDescent="0.3">
      <c r="A69" s="97" t="s">
        <v>98</v>
      </c>
      <c r="B69" s="98">
        <f>SUM(B70)</f>
        <v>4029541000</v>
      </c>
      <c r="C69" s="98"/>
      <c r="D69" s="98"/>
      <c r="E69" s="99">
        <f>SUM(E70)</f>
        <v>0</v>
      </c>
      <c r="F69" s="98">
        <f t="shared" ref="F69:F132" si="5">B69-G69</f>
        <v>165940584</v>
      </c>
      <c r="G69" s="98">
        <f>SUM(G70)</f>
        <v>3863600416</v>
      </c>
      <c r="H69" s="100">
        <f>H70</f>
        <v>99.221126244656503</v>
      </c>
    </row>
    <row r="70" spans="1:9" ht="48.75" thickBot="1" x14ac:dyDescent="0.3">
      <c r="A70" s="101" t="s">
        <v>1033</v>
      </c>
      <c r="B70" s="102">
        <f>SUM(B71,B76,B93,B123)</f>
        <v>4029541000</v>
      </c>
      <c r="C70" s="103"/>
      <c r="D70" s="103"/>
      <c r="E70" s="104"/>
      <c r="F70" s="102">
        <f t="shared" si="5"/>
        <v>165940584</v>
      </c>
      <c r="G70" s="102">
        <f>SUM(G71,G76,G93,G123)</f>
        <v>3863600416</v>
      </c>
      <c r="H70" s="105">
        <f>AVERAGE(H71,H76,H93,H123)</f>
        <v>99.221126244656503</v>
      </c>
    </row>
    <row r="71" spans="1:9" ht="36.75" thickBot="1" x14ac:dyDescent="0.3">
      <c r="A71" s="106" t="s">
        <v>1034</v>
      </c>
      <c r="B71" s="107">
        <f>SUM(B72:B75)</f>
        <v>118920000</v>
      </c>
      <c r="C71" s="108"/>
      <c r="D71" s="108"/>
      <c r="E71" s="109"/>
      <c r="F71" s="107">
        <f t="shared" si="5"/>
        <v>1011000</v>
      </c>
      <c r="G71" s="107">
        <f>SUM(G72:G75)</f>
        <v>117909000</v>
      </c>
      <c r="H71" s="110">
        <f>AVERAGE(H72:H75)</f>
        <v>99.445921985815602</v>
      </c>
    </row>
    <row r="72" spans="1:9" ht="24.75" thickBot="1" x14ac:dyDescent="0.3">
      <c r="A72" s="111" t="s">
        <v>1035</v>
      </c>
      <c r="B72" s="112">
        <v>34000000</v>
      </c>
      <c r="C72" s="111" t="s">
        <v>49</v>
      </c>
      <c r="D72" s="111" t="s">
        <v>194</v>
      </c>
      <c r="E72" s="112">
        <v>33777000</v>
      </c>
      <c r="F72" s="112">
        <f t="shared" si="5"/>
        <v>223000</v>
      </c>
      <c r="G72" s="112">
        <v>33777000</v>
      </c>
      <c r="H72" s="113">
        <v>100</v>
      </c>
    </row>
    <row r="73" spans="1:9" ht="24.75" thickBot="1" x14ac:dyDescent="0.3">
      <c r="A73" s="111" t="s">
        <v>1036</v>
      </c>
      <c r="B73" s="112">
        <v>34000000</v>
      </c>
      <c r="C73" s="111" t="s">
        <v>49</v>
      </c>
      <c r="D73" s="111" t="s">
        <v>194</v>
      </c>
      <c r="E73" s="112">
        <v>33810000</v>
      </c>
      <c r="F73" s="112">
        <f t="shared" si="5"/>
        <v>190000</v>
      </c>
      <c r="G73" s="112">
        <v>33810000</v>
      </c>
      <c r="H73" s="113">
        <v>100</v>
      </c>
    </row>
    <row r="74" spans="1:9" ht="24.75" thickBot="1" x14ac:dyDescent="0.3">
      <c r="A74" s="111" t="s">
        <v>1037</v>
      </c>
      <c r="B74" s="112">
        <v>34000000</v>
      </c>
      <c r="C74" s="111" t="s">
        <v>49</v>
      </c>
      <c r="D74" s="111" t="s">
        <v>194</v>
      </c>
      <c r="E74" s="112">
        <v>33777000</v>
      </c>
      <c r="F74" s="112">
        <f t="shared" si="5"/>
        <v>223000</v>
      </c>
      <c r="G74" s="112">
        <v>33777000</v>
      </c>
      <c r="H74" s="113">
        <v>100</v>
      </c>
    </row>
    <row r="75" spans="1:9" ht="12.75" thickBot="1" x14ac:dyDescent="0.3">
      <c r="A75" s="111" t="s">
        <v>64</v>
      </c>
      <c r="B75" s="112">
        <f>18000000-1080000</f>
        <v>16920000</v>
      </c>
      <c r="C75" s="111" t="s">
        <v>19</v>
      </c>
      <c r="D75" s="111" t="s">
        <v>19</v>
      </c>
      <c r="E75" s="112">
        <v>0</v>
      </c>
      <c r="F75" s="112">
        <f t="shared" si="5"/>
        <v>375000</v>
      </c>
      <c r="G75" s="112">
        <f>10947500+5597500</f>
        <v>16545000</v>
      </c>
      <c r="H75" s="113">
        <f>G75/B75*100</f>
        <v>97.783687943262407</v>
      </c>
    </row>
    <row r="76" spans="1:9" ht="24.75" thickBot="1" x14ac:dyDescent="0.3">
      <c r="A76" s="106" t="s">
        <v>1038</v>
      </c>
      <c r="B76" s="107">
        <f>SUM(B77:B92)</f>
        <v>1767435000</v>
      </c>
      <c r="C76" s="108"/>
      <c r="D76" s="108"/>
      <c r="E76" s="109"/>
      <c r="F76" s="107">
        <f t="shared" si="5"/>
        <v>34911412</v>
      </c>
      <c r="G76" s="107">
        <f>SUM(G77:G92)</f>
        <v>1732523588</v>
      </c>
      <c r="H76" s="110">
        <f>AVERAGE(H77:H92)</f>
        <v>99.918025282687125</v>
      </c>
    </row>
    <row r="77" spans="1:9" ht="24.75" thickBot="1" x14ac:dyDescent="0.3">
      <c r="A77" s="111" t="s">
        <v>1039</v>
      </c>
      <c r="B77" s="112">
        <v>92500000</v>
      </c>
      <c r="C77" s="111" t="s">
        <v>49</v>
      </c>
      <c r="D77" s="111" t="s">
        <v>89</v>
      </c>
      <c r="E77" s="112">
        <v>89488000</v>
      </c>
      <c r="F77" s="112">
        <f t="shared" si="5"/>
        <v>3012000</v>
      </c>
      <c r="G77" s="112">
        <v>89488000</v>
      </c>
      <c r="H77" s="113">
        <v>100</v>
      </c>
    </row>
    <row r="78" spans="1:9" ht="24.75" thickBot="1" x14ac:dyDescent="0.3">
      <c r="A78" s="111" t="s">
        <v>1040</v>
      </c>
      <c r="B78" s="112">
        <v>92500000</v>
      </c>
      <c r="C78" s="111" t="s">
        <v>49</v>
      </c>
      <c r="D78" s="111" t="s">
        <v>89</v>
      </c>
      <c r="E78" s="112">
        <v>90779000</v>
      </c>
      <c r="F78" s="112">
        <f t="shared" si="5"/>
        <v>1721000</v>
      </c>
      <c r="G78" s="112">
        <v>90779000</v>
      </c>
      <c r="H78" s="113">
        <v>100</v>
      </c>
    </row>
    <row r="79" spans="1:9" ht="24.75" thickBot="1" x14ac:dyDescent="0.3">
      <c r="A79" s="111" t="s">
        <v>1041</v>
      </c>
      <c r="B79" s="112">
        <v>92500000</v>
      </c>
      <c r="C79" s="111" t="s">
        <v>49</v>
      </c>
      <c r="D79" s="111" t="s">
        <v>89</v>
      </c>
      <c r="E79" s="112">
        <v>90693000</v>
      </c>
      <c r="F79" s="112">
        <f t="shared" si="5"/>
        <v>1807000</v>
      </c>
      <c r="G79" s="112">
        <v>90693000</v>
      </c>
      <c r="H79" s="113">
        <v>100</v>
      </c>
    </row>
    <row r="80" spans="1:9" ht="24.75" thickBot="1" x14ac:dyDescent="0.3">
      <c r="A80" s="111" t="s">
        <v>1042</v>
      </c>
      <c r="B80" s="112">
        <v>92500000</v>
      </c>
      <c r="C80" s="111" t="s">
        <v>49</v>
      </c>
      <c r="D80" s="111" t="s">
        <v>89</v>
      </c>
      <c r="E80" s="112">
        <v>90107000</v>
      </c>
      <c r="F80" s="112">
        <f t="shared" si="5"/>
        <v>2393000</v>
      </c>
      <c r="G80" s="112">
        <v>90107000</v>
      </c>
      <c r="H80" s="113">
        <v>100</v>
      </c>
    </row>
    <row r="81" spans="1:10" ht="24.75" thickBot="1" x14ac:dyDescent="0.3">
      <c r="A81" s="111" t="s">
        <v>1043</v>
      </c>
      <c r="B81" s="112">
        <v>92500000</v>
      </c>
      <c r="C81" s="111" t="s">
        <v>49</v>
      </c>
      <c r="D81" s="111" t="s">
        <v>89</v>
      </c>
      <c r="E81" s="112">
        <v>91232723</v>
      </c>
      <c r="F81" s="112">
        <f t="shared" si="5"/>
        <v>1267277</v>
      </c>
      <c r="G81" s="112">
        <v>91232723</v>
      </c>
      <c r="H81" s="113">
        <v>100</v>
      </c>
    </row>
    <row r="82" spans="1:10" ht="24.75" thickBot="1" x14ac:dyDescent="0.3">
      <c r="A82" s="111" t="s">
        <v>1044</v>
      </c>
      <c r="B82" s="112">
        <v>92500000</v>
      </c>
      <c r="C82" s="111" t="s">
        <v>49</v>
      </c>
      <c r="D82" s="111" t="s">
        <v>89</v>
      </c>
      <c r="E82" s="112">
        <v>91156485</v>
      </c>
      <c r="F82" s="112">
        <f t="shared" si="5"/>
        <v>1343515</v>
      </c>
      <c r="G82" s="112">
        <v>91156485</v>
      </c>
      <c r="H82" s="113">
        <v>100</v>
      </c>
    </row>
    <row r="83" spans="1:10" ht="24.75" thickBot="1" x14ac:dyDescent="0.3">
      <c r="A83" s="111" t="s">
        <v>1045</v>
      </c>
      <c r="B83" s="112">
        <v>92500000</v>
      </c>
      <c r="C83" s="111" t="s">
        <v>49</v>
      </c>
      <c r="D83" s="111" t="s">
        <v>89</v>
      </c>
      <c r="E83" s="112">
        <v>90202000</v>
      </c>
      <c r="F83" s="112">
        <f t="shared" si="5"/>
        <v>2298000</v>
      </c>
      <c r="G83" s="112">
        <v>90202000</v>
      </c>
      <c r="H83" s="113">
        <v>100</v>
      </c>
    </row>
    <row r="84" spans="1:10" ht="24.75" thickBot="1" x14ac:dyDescent="0.3">
      <c r="A84" s="111" t="s">
        <v>1046</v>
      </c>
      <c r="B84" s="112">
        <v>92500000</v>
      </c>
      <c r="C84" s="111" t="s">
        <v>49</v>
      </c>
      <c r="D84" s="111" t="s">
        <v>89</v>
      </c>
      <c r="E84" s="112">
        <v>89138000</v>
      </c>
      <c r="F84" s="112">
        <f t="shared" si="5"/>
        <v>3362000</v>
      </c>
      <c r="G84" s="112">
        <v>89138000</v>
      </c>
      <c r="H84" s="113">
        <v>100</v>
      </c>
    </row>
    <row r="85" spans="1:10" ht="24.75" thickBot="1" x14ac:dyDescent="0.3">
      <c r="A85" s="111" t="s">
        <v>1047</v>
      </c>
      <c r="B85" s="112">
        <v>92500000</v>
      </c>
      <c r="C85" s="111" t="s">
        <v>49</v>
      </c>
      <c r="D85" s="111" t="s">
        <v>89</v>
      </c>
      <c r="E85" s="112">
        <v>90050000</v>
      </c>
      <c r="F85" s="112">
        <f t="shared" si="5"/>
        <v>2450000</v>
      </c>
      <c r="G85" s="112">
        <v>90050000</v>
      </c>
      <c r="H85" s="113">
        <v>100</v>
      </c>
    </row>
    <row r="86" spans="1:10" ht="24.75" thickBot="1" x14ac:dyDescent="0.3">
      <c r="A86" s="111" t="s">
        <v>1048</v>
      </c>
      <c r="B86" s="112">
        <v>92500000</v>
      </c>
      <c r="C86" s="111" t="s">
        <v>49</v>
      </c>
      <c r="D86" s="111" t="s">
        <v>89</v>
      </c>
      <c r="E86" s="112">
        <v>90630758</v>
      </c>
      <c r="F86" s="112">
        <f t="shared" si="5"/>
        <v>1869242</v>
      </c>
      <c r="G86" s="112">
        <v>90630758</v>
      </c>
      <c r="H86" s="113">
        <v>100</v>
      </c>
    </row>
    <row r="87" spans="1:10" ht="24.75" thickBot="1" x14ac:dyDescent="0.3">
      <c r="A87" s="111" t="s">
        <v>1049</v>
      </c>
      <c r="B87" s="112">
        <v>92500000</v>
      </c>
      <c r="C87" s="111" t="s">
        <v>49</v>
      </c>
      <c r="D87" s="111" t="s">
        <v>89</v>
      </c>
      <c r="E87" s="112">
        <v>90254840</v>
      </c>
      <c r="F87" s="112">
        <f t="shared" si="5"/>
        <v>2245160</v>
      </c>
      <c r="G87" s="112">
        <v>90254840</v>
      </c>
      <c r="H87" s="113">
        <v>100</v>
      </c>
    </row>
    <row r="88" spans="1:10" ht="24.75" thickBot="1" x14ac:dyDescent="0.3">
      <c r="A88" s="111" t="s">
        <v>1050</v>
      </c>
      <c r="B88" s="112">
        <v>92500000</v>
      </c>
      <c r="C88" s="111" t="s">
        <v>49</v>
      </c>
      <c r="D88" s="111" t="s">
        <v>89</v>
      </c>
      <c r="E88" s="112">
        <v>90352000</v>
      </c>
      <c r="F88" s="112">
        <f t="shared" si="5"/>
        <v>2148000</v>
      </c>
      <c r="G88" s="112">
        <v>90352000</v>
      </c>
      <c r="H88" s="113">
        <v>100</v>
      </c>
    </row>
    <row r="89" spans="1:10" ht="24.75" thickBot="1" x14ac:dyDescent="0.3">
      <c r="A89" s="111" t="s">
        <v>1051</v>
      </c>
      <c r="B89" s="112">
        <v>92500000</v>
      </c>
      <c r="C89" s="111" t="s">
        <v>49</v>
      </c>
      <c r="D89" s="111" t="s">
        <v>89</v>
      </c>
      <c r="E89" s="112">
        <v>90650907</v>
      </c>
      <c r="F89" s="112">
        <f t="shared" si="5"/>
        <v>1849093</v>
      </c>
      <c r="G89" s="112">
        <v>90650907</v>
      </c>
      <c r="H89" s="113">
        <v>100</v>
      </c>
    </row>
    <row r="90" spans="1:10" ht="24.75" thickBot="1" x14ac:dyDescent="0.3">
      <c r="A90" s="111" t="s">
        <v>1052</v>
      </c>
      <c r="B90" s="112">
        <v>200000000</v>
      </c>
      <c r="C90" s="111" t="s">
        <v>49</v>
      </c>
      <c r="D90" s="111" t="s">
        <v>89</v>
      </c>
      <c r="E90" s="112">
        <v>197422000</v>
      </c>
      <c r="F90" s="112">
        <f t="shared" si="5"/>
        <v>2578000</v>
      </c>
      <c r="G90" s="112">
        <v>197422000</v>
      </c>
      <c r="H90" s="113">
        <v>100</v>
      </c>
    </row>
    <row r="91" spans="1:10" ht="24.75" thickBot="1" x14ac:dyDescent="0.3">
      <c r="A91" s="111" t="s">
        <v>1053</v>
      </c>
      <c r="B91" s="112">
        <v>200000000</v>
      </c>
      <c r="C91" s="111" t="s">
        <v>49</v>
      </c>
      <c r="D91" s="111" t="s">
        <v>89</v>
      </c>
      <c r="E91" s="112">
        <v>197595155</v>
      </c>
      <c r="F91" s="112">
        <f t="shared" si="5"/>
        <v>2404845</v>
      </c>
      <c r="G91" s="112">
        <v>197595155</v>
      </c>
      <c r="H91" s="113">
        <v>100</v>
      </c>
    </row>
    <row r="92" spans="1:10" ht="12.75" thickBot="1" x14ac:dyDescent="0.3">
      <c r="A92" s="111" t="s">
        <v>1054</v>
      </c>
      <c r="B92" s="112">
        <f>167500000-2565000</f>
        <v>164935000</v>
      </c>
      <c r="C92" s="111" t="s">
        <v>19</v>
      </c>
      <c r="D92" s="111" t="s">
        <v>19</v>
      </c>
      <c r="E92" s="112">
        <v>42419928</v>
      </c>
      <c r="F92" s="112">
        <f t="shared" si="5"/>
        <v>2163280</v>
      </c>
      <c r="G92" s="112">
        <v>162771720</v>
      </c>
      <c r="H92" s="113">
        <f>G92/B92*100</f>
        <v>98.688404522993906</v>
      </c>
    </row>
    <row r="93" spans="1:10" ht="24.75" thickBot="1" x14ac:dyDescent="0.3">
      <c r="A93" s="106" t="s">
        <v>1055</v>
      </c>
      <c r="B93" s="107">
        <f>SUM(B94:B122)</f>
        <v>2043186000</v>
      </c>
      <c r="C93" s="108"/>
      <c r="D93" s="108"/>
      <c r="E93" s="109"/>
      <c r="F93" s="107">
        <f t="shared" si="5"/>
        <v>129570322</v>
      </c>
      <c r="G93" s="107">
        <f>SUM(G94:G122)</f>
        <v>1913615678</v>
      </c>
      <c r="H93" s="110">
        <f>AVERAGE(H95:H98,H100:H103,H105:H122)</f>
        <v>97.520557710123299</v>
      </c>
      <c r="I93" s="81">
        <f>SUM(B95,B96,B100,B101,B105,B106,B107,B108,B109)</f>
        <v>204687000</v>
      </c>
      <c r="J93" s="81">
        <f>642237100-G93</f>
        <v>-1271378578</v>
      </c>
    </row>
    <row r="94" spans="1:10" ht="12.75" thickBot="1" x14ac:dyDescent="0.3">
      <c r="A94" s="111" t="s">
        <v>1056</v>
      </c>
      <c r="B94" s="112">
        <v>0</v>
      </c>
      <c r="C94" s="111" t="s">
        <v>49</v>
      </c>
      <c r="D94" s="111" t="s">
        <v>89</v>
      </c>
      <c r="E94" s="112">
        <v>0</v>
      </c>
      <c r="F94" s="112">
        <f t="shared" si="5"/>
        <v>0</v>
      </c>
      <c r="G94" s="112"/>
      <c r="H94" s="113">
        <v>0</v>
      </c>
    </row>
    <row r="95" spans="1:10" ht="24.75" thickBot="1" x14ac:dyDescent="0.3">
      <c r="A95" s="111" t="s">
        <v>1057</v>
      </c>
      <c r="B95" s="112">
        <v>17907000</v>
      </c>
      <c r="C95" s="111" t="s">
        <v>49</v>
      </c>
      <c r="D95" s="111" t="s">
        <v>50</v>
      </c>
      <c r="E95" s="112">
        <v>17807000</v>
      </c>
      <c r="F95" s="112">
        <f t="shared" si="5"/>
        <v>100000</v>
      </c>
      <c r="G95" s="112">
        <v>17807000</v>
      </c>
      <c r="H95" s="113">
        <v>100</v>
      </c>
    </row>
    <row r="96" spans="1:10" ht="24.75" thickBot="1" x14ac:dyDescent="0.3">
      <c r="A96" s="111" t="s">
        <v>1058</v>
      </c>
      <c r="B96" s="112">
        <v>14001000</v>
      </c>
      <c r="C96" s="111" t="s">
        <v>49</v>
      </c>
      <c r="D96" s="111" t="s">
        <v>50</v>
      </c>
      <c r="E96" s="112">
        <v>13906000</v>
      </c>
      <c r="F96" s="112">
        <f t="shared" si="5"/>
        <v>95000</v>
      </c>
      <c r="G96" s="112">
        <v>13906000</v>
      </c>
      <c r="H96" s="113">
        <v>100</v>
      </c>
    </row>
    <row r="97" spans="1:8" ht="24.75" thickBot="1" x14ac:dyDescent="0.3">
      <c r="A97" s="111" t="s">
        <v>1059</v>
      </c>
      <c r="B97" s="112">
        <v>17093000</v>
      </c>
      <c r="C97" s="111" t="s">
        <v>19</v>
      </c>
      <c r="D97" s="111" t="s">
        <v>72</v>
      </c>
      <c r="E97" s="112">
        <v>16908000</v>
      </c>
      <c r="F97" s="112">
        <f t="shared" si="5"/>
        <v>185000</v>
      </c>
      <c r="G97" s="112">
        <v>16908000</v>
      </c>
      <c r="H97" s="113">
        <v>100</v>
      </c>
    </row>
    <row r="98" spans="1:8" ht="24.75" thickBot="1" x14ac:dyDescent="0.3">
      <c r="A98" s="111" t="s">
        <v>1060</v>
      </c>
      <c r="B98" s="112">
        <v>10999000</v>
      </c>
      <c r="C98" s="111" t="s">
        <v>19</v>
      </c>
      <c r="D98" s="111" t="s">
        <v>72</v>
      </c>
      <c r="E98" s="112">
        <v>10864000</v>
      </c>
      <c r="F98" s="112">
        <f t="shared" si="5"/>
        <v>135000</v>
      </c>
      <c r="G98" s="112">
        <v>10864000</v>
      </c>
      <c r="H98" s="113">
        <v>100</v>
      </c>
    </row>
    <row r="99" spans="1:8" ht="12.75" thickBot="1" x14ac:dyDescent="0.3">
      <c r="A99" s="111" t="s">
        <v>1061</v>
      </c>
      <c r="B99" s="120">
        <v>0</v>
      </c>
      <c r="C99" s="111" t="s">
        <v>49</v>
      </c>
      <c r="D99" s="111" t="s">
        <v>194</v>
      </c>
      <c r="E99" s="112">
        <v>0</v>
      </c>
      <c r="F99" s="112">
        <f t="shared" si="5"/>
        <v>0</v>
      </c>
      <c r="G99" s="120">
        <v>0</v>
      </c>
      <c r="H99" s="113">
        <v>0</v>
      </c>
    </row>
    <row r="100" spans="1:8" ht="36.75" thickBot="1" x14ac:dyDescent="0.3">
      <c r="A100" s="111" t="s">
        <v>1062</v>
      </c>
      <c r="B100" s="112">
        <v>27737000</v>
      </c>
      <c r="C100" s="111" t="s">
        <v>49</v>
      </c>
      <c r="D100" s="111" t="s">
        <v>50</v>
      </c>
      <c r="E100" s="112">
        <v>27662000</v>
      </c>
      <c r="F100" s="112">
        <f t="shared" si="5"/>
        <v>115000</v>
      </c>
      <c r="G100" s="112">
        <v>27622000</v>
      </c>
      <c r="H100" s="113">
        <v>100</v>
      </c>
    </row>
    <row r="101" spans="1:8" ht="36.75" thickBot="1" x14ac:dyDescent="0.3">
      <c r="A101" s="111" t="s">
        <v>1063</v>
      </c>
      <c r="B101" s="112">
        <v>20506000</v>
      </c>
      <c r="C101" s="111" t="s">
        <v>49</v>
      </c>
      <c r="D101" s="111" t="s">
        <v>50</v>
      </c>
      <c r="E101" s="112">
        <v>20406000</v>
      </c>
      <c r="F101" s="112">
        <f t="shared" si="5"/>
        <v>100000</v>
      </c>
      <c r="G101" s="112">
        <v>20406000</v>
      </c>
      <c r="H101" s="113">
        <v>100</v>
      </c>
    </row>
    <row r="102" spans="1:8" ht="36.75" thickBot="1" x14ac:dyDescent="0.3">
      <c r="A102" s="111" t="s">
        <v>1064</v>
      </c>
      <c r="B102" s="112">
        <v>12263000</v>
      </c>
      <c r="C102" s="111" t="s">
        <v>19</v>
      </c>
      <c r="D102" s="111" t="s">
        <v>72</v>
      </c>
      <c r="E102" s="112">
        <v>12118000</v>
      </c>
      <c r="F102" s="112">
        <f t="shared" si="5"/>
        <v>145000</v>
      </c>
      <c r="G102" s="112">
        <v>12118000</v>
      </c>
      <c r="H102" s="113">
        <v>100</v>
      </c>
    </row>
    <row r="103" spans="1:8" ht="24.75" thickBot="1" x14ac:dyDescent="0.3">
      <c r="A103" s="111" t="s">
        <v>1065</v>
      </c>
      <c r="B103" s="112">
        <v>11494000</v>
      </c>
      <c r="C103" s="111" t="s">
        <v>19</v>
      </c>
      <c r="D103" s="111" t="s">
        <v>72</v>
      </c>
      <c r="E103" s="112">
        <v>11374000</v>
      </c>
      <c r="F103" s="112">
        <f t="shared" si="5"/>
        <v>120000</v>
      </c>
      <c r="G103" s="112">
        <v>11374000</v>
      </c>
      <c r="H103" s="113">
        <v>100</v>
      </c>
    </row>
    <row r="104" spans="1:8" ht="12.75" thickBot="1" x14ac:dyDescent="0.3">
      <c r="A104" s="111" t="s">
        <v>1066</v>
      </c>
      <c r="B104" s="120">
        <v>0</v>
      </c>
      <c r="C104" s="111" t="s">
        <v>49</v>
      </c>
      <c r="D104" s="111" t="s">
        <v>194</v>
      </c>
      <c r="E104" s="112">
        <v>0</v>
      </c>
      <c r="F104" s="112">
        <f t="shared" si="5"/>
        <v>0</v>
      </c>
      <c r="G104" s="120">
        <v>0</v>
      </c>
      <c r="H104" s="113">
        <v>0</v>
      </c>
    </row>
    <row r="105" spans="1:8" ht="24.75" thickBot="1" x14ac:dyDescent="0.3">
      <c r="A105" s="111" t="s">
        <v>1067</v>
      </c>
      <c r="B105" s="112">
        <v>28842000</v>
      </c>
      <c r="C105" s="111" t="s">
        <v>49</v>
      </c>
      <c r="D105" s="111" t="s">
        <v>50</v>
      </c>
      <c r="E105" s="112">
        <v>28372000</v>
      </c>
      <c r="F105" s="112">
        <f t="shared" si="5"/>
        <v>110000</v>
      </c>
      <c r="G105" s="112">
        <v>28732000</v>
      </c>
      <c r="H105" s="113">
        <v>100</v>
      </c>
    </row>
    <row r="106" spans="1:8" ht="36.75" thickBot="1" x14ac:dyDescent="0.3">
      <c r="A106" s="111" t="s">
        <v>1068</v>
      </c>
      <c r="B106" s="112">
        <v>25802000</v>
      </c>
      <c r="C106" s="111" t="s">
        <v>49</v>
      </c>
      <c r="D106" s="111" t="s">
        <v>50</v>
      </c>
      <c r="E106" s="112">
        <v>25697000</v>
      </c>
      <c r="F106" s="112">
        <f t="shared" si="5"/>
        <v>105000</v>
      </c>
      <c r="G106" s="112">
        <v>25697000</v>
      </c>
      <c r="H106" s="113">
        <v>100</v>
      </c>
    </row>
    <row r="107" spans="1:8" ht="24.75" thickBot="1" x14ac:dyDescent="0.3">
      <c r="A107" s="111" t="s">
        <v>1069</v>
      </c>
      <c r="B107" s="112">
        <v>25508000</v>
      </c>
      <c r="C107" s="111" t="s">
        <v>49</v>
      </c>
      <c r="D107" s="111" t="s">
        <v>50</v>
      </c>
      <c r="E107" s="112">
        <v>25408000</v>
      </c>
      <c r="F107" s="112">
        <f t="shared" si="5"/>
        <v>100000</v>
      </c>
      <c r="G107" s="112">
        <v>25408000</v>
      </c>
      <c r="H107" s="113">
        <v>100</v>
      </c>
    </row>
    <row r="108" spans="1:8" ht="24.75" thickBot="1" x14ac:dyDescent="0.3">
      <c r="A108" s="111" t="s">
        <v>1070</v>
      </c>
      <c r="B108" s="112">
        <v>25058000</v>
      </c>
      <c r="C108" s="111" t="s">
        <v>49</v>
      </c>
      <c r="D108" s="111" t="s">
        <v>50</v>
      </c>
      <c r="E108" s="112">
        <v>24948000</v>
      </c>
      <c r="F108" s="112">
        <f t="shared" si="5"/>
        <v>110000</v>
      </c>
      <c r="G108" s="112">
        <v>24948000</v>
      </c>
      <c r="H108" s="113">
        <v>100</v>
      </c>
    </row>
    <row r="109" spans="1:8" ht="24.75" thickBot="1" x14ac:dyDescent="0.3">
      <c r="A109" s="111" t="s">
        <v>1071</v>
      </c>
      <c r="B109" s="112">
        <v>19326000</v>
      </c>
      <c r="C109" s="111" t="s">
        <v>49</v>
      </c>
      <c r="D109" s="111" t="s">
        <v>50</v>
      </c>
      <c r="E109" s="112">
        <v>19226000</v>
      </c>
      <c r="F109" s="112">
        <f t="shared" si="5"/>
        <v>100000</v>
      </c>
      <c r="G109" s="112">
        <v>19226000</v>
      </c>
      <c r="H109" s="113">
        <v>100</v>
      </c>
    </row>
    <row r="110" spans="1:8" ht="24.75" thickBot="1" x14ac:dyDescent="0.3">
      <c r="A110" s="111" t="s">
        <v>1072</v>
      </c>
      <c r="B110" s="112">
        <v>14158000</v>
      </c>
      <c r="C110" s="111" t="s">
        <v>19</v>
      </c>
      <c r="D110" s="111" t="s">
        <v>72</v>
      </c>
      <c r="E110" s="112">
        <v>14023000</v>
      </c>
      <c r="F110" s="112">
        <f t="shared" si="5"/>
        <v>135000</v>
      </c>
      <c r="G110" s="112">
        <v>14023000</v>
      </c>
      <c r="H110" s="113">
        <v>100</v>
      </c>
    </row>
    <row r="111" spans="1:8" ht="36.75" thickBot="1" x14ac:dyDescent="0.3">
      <c r="A111" s="111" t="s">
        <v>1073</v>
      </c>
      <c r="B111" s="112">
        <v>12198000</v>
      </c>
      <c r="C111" s="111" t="s">
        <v>19</v>
      </c>
      <c r="D111" s="111" t="s">
        <v>72</v>
      </c>
      <c r="E111" s="112">
        <v>12078000</v>
      </c>
      <c r="F111" s="112">
        <f t="shared" si="5"/>
        <v>120000</v>
      </c>
      <c r="G111" s="112">
        <v>12078000</v>
      </c>
      <c r="H111" s="113">
        <v>100</v>
      </c>
    </row>
    <row r="112" spans="1:8" ht="24.75" thickBot="1" x14ac:dyDescent="0.3">
      <c r="A112" s="111" t="s">
        <v>1074</v>
      </c>
      <c r="B112" s="112">
        <v>17992000</v>
      </c>
      <c r="C112" s="111" t="s">
        <v>19</v>
      </c>
      <c r="D112" s="111" t="s">
        <v>72</v>
      </c>
      <c r="E112" s="112">
        <v>17807000</v>
      </c>
      <c r="F112" s="112">
        <f t="shared" si="5"/>
        <v>185000</v>
      </c>
      <c r="G112" s="112">
        <v>17807000</v>
      </c>
      <c r="H112" s="113">
        <v>100</v>
      </c>
    </row>
    <row r="113" spans="1:10" ht="24.75" thickBot="1" x14ac:dyDescent="0.3">
      <c r="A113" s="111" t="s">
        <v>1075</v>
      </c>
      <c r="B113" s="112">
        <v>12942000</v>
      </c>
      <c r="C113" s="111" t="s">
        <v>19</v>
      </c>
      <c r="D113" s="111" t="s">
        <v>72</v>
      </c>
      <c r="E113" s="112">
        <v>12797000</v>
      </c>
      <c r="F113" s="112">
        <f t="shared" si="5"/>
        <v>145000</v>
      </c>
      <c r="G113" s="112">
        <v>12797000</v>
      </c>
      <c r="H113" s="113">
        <v>100</v>
      </c>
    </row>
    <row r="114" spans="1:10" ht="24.75" thickBot="1" x14ac:dyDescent="0.3">
      <c r="A114" s="111" t="s">
        <v>1076</v>
      </c>
      <c r="B114" s="112">
        <v>12174000</v>
      </c>
      <c r="C114" s="111" t="s">
        <v>19</v>
      </c>
      <c r="D114" s="111" t="s">
        <v>72</v>
      </c>
      <c r="E114" s="112">
        <v>12044000</v>
      </c>
      <c r="F114" s="112">
        <f t="shared" si="5"/>
        <v>130000</v>
      </c>
      <c r="G114" s="112">
        <v>12044000</v>
      </c>
      <c r="H114" s="113">
        <v>100</v>
      </c>
    </row>
    <row r="115" spans="1:10" ht="24.75" thickBot="1" x14ac:dyDescent="0.3">
      <c r="A115" s="111" t="s">
        <v>1077</v>
      </c>
      <c r="B115" s="112">
        <v>40000000</v>
      </c>
      <c r="C115" s="111" t="s">
        <v>49</v>
      </c>
      <c r="D115" s="111" t="s">
        <v>50</v>
      </c>
      <c r="E115" s="112">
        <v>39633993</v>
      </c>
      <c r="F115" s="112">
        <f t="shared" si="5"/>
        <v>366007</v>
      </c>
      <c r="G115" s="112">
        <v>39633993</v>
      </c>
      <c r="H115" s="113">
        <v>100</v>
      </c>
    </row>
    <row r="116" spans="1:10" ht="24.75" thickBot="1" x14ac:dyDescent="0.3">
      <c r="A116" s="111" t="s">
        <v>1078</v>
      </c>
      <c r="B116" s="112">
        <v>40000000</v>
      </c>
      <c r="C116" s="111" t="s">
        <v>49</v>
      </c>
      <c r="D116" s="111" t="s">
        <v>50</v>
      </c>
      <c r="E116" s="112">
        <v>39533094</v>
      </c>
      <c r="F116" s="112">
        <f t="shared" si="5"/>
        <v>466906</v>
      </c>
      <c r="G116" s="112">
        <v>39533094</v>
      </c>
      <c r="H116" s="113">
        <v>100</v>
      </c>
    </row>
    <row r="117" spans="1:10" ht="12.75" thickBot="1" x14ac:dyDescent="0.3">
      <c r="A117" s="111" t="s">
        <v>1079</v>
      </c>
      <c r="B117" s="112">
        <v>6000000</v>
      </c>
      <c r="C117" s="111" t="s">
        <v>19</v>
      </c>
      <c r="D117" s="111" t="s">
        <v>72</v>
      </c>
      <c r="E117" s="112">
        <v>0</v>
      </c>
      <c r="F117" s="112">
        <f t="shared" si="5"/>
        <v>0</v>
      </c>
      <c r="G117" s="112">
        <v>6000000</v>
      </c>
      <c r="H117" s="113">
        <v>100</v>
      </c>
    </row>
    <row r="118" spans="1:10" ht="24.75" thickBot="1" x14ac:dyDescent="0.3">
      <c r="A118" s="111" t="s">
        <v>1080</v>
      </c>
      <c r="B118" s="112">
        <v>40000000</v>
      </c>
      <c r="C118" s="111" t="s">
        <v>49</v>
      </c>
      <c r="D118" s="111" t="s">
        <v>89</v>
      </c>
      <c r="E118" s="112">
        <v>37510741</v>
      </c>
      <c r="F118" s="112">
        <f t="shared" si="5"/>
        <v>2489259</v>
      </c>
      <c r="G118" s="112">
        <v>37510741</v>
      </c>
      <c r="H118" s="113">
        <v>100</v>
      </c>
    </row>
    <row r="119" spans="1:10" s="3" customFormat="1" ht="24.75" thickBot="1" x14ac:dyDescent="0.3">
      <c r="A119" s="111" t="s">
        <v>1081</v>
      </c>
      <c r="B119" s="112">
        <v>14800000</v>
      </c>
      <c r="C119" s="111" t="s">
        <v>49</v>
      </c>
      <c r="D119" s="111" t="s">
        <v>50</v>
      </c>
      <c r="E119" s="120">
        <v>0</v>
      </c>
      <c r="F119" s="112">
        <f t="shared" si="5"/>
        <v>0</v>
      </c>
      <c r="G119" s="112">
        <v>14800000</v>
      </c>
      <c r="H119" s="113">
        <v>100</v>
      </c>
    </row>
    <row r="120" spans="1:10" s="48" customFormat="1" ht="15.75" thickBot="1" x14ac:dyDescent="0.3">
      <c r="A120" s="121" t="s">
        <v>1082</v>
      </c>
      <c r="B120" s="122">
        <v>10000000</v>
      </c>
      <c r="C120" s="121" t="s">
        <v>49</v>
      </c>
      <c r="D120" s="121" t="s">
        <v>50</v>
      </c>
      <c r="E120" s="123">
        <v>0</v>
      </c>
      <c r="F120" s="112">
        <f t="shared" si="5"/>
        <v>0</v>
      </c>
      <c r="G120" s="122">
        <v>10000000</v>
      </c>
      <c r="H120" s="124">
        <v>100</v>
      </c>
    </row>
    <row r="121" spans="1:10" ht="12.75" thickBot="1" x14ac:dyDescent="0.3">
      <c r="A121" s="111" t="s">
        <v>1083</v>
      </c>
      <c r="B121" s="112">
        <v>1387200000</v>
      </c>
      <c r="C121" s="111" t="s">
        <v>49</v>
      </c>
      <c r="D121" s="111" t="s">
        <v>72</v>
      </c>
      <c r="E121" s="112">
        <v>1387200000</v>
      </c>
      <c r="F121" s="112">
        <f t="shared" si="5"/>
        <v>8500000</v>
      </c>
      <c r="G121" s="112">
        <f>1264800000+113900000</f>
        <v>1378700000</v>
      </c>
      <c r="H121" s="113">
        <v>100</v>
      </c>
    </row>
    <row r="122" spans="1:10" ht="12.75" thickBot="1" x14ac:dyDescent="0.3">
      <c r="A122" s="111" t="s">
        <v>1084</v>
      </c>
      <c r="B122" s="112">
        <v>179186000</v>
      </c>
      <c r="C122" s="111" t="s">
        <v>19</v>
      </c>
      <c r="D122" s="111" t="s">
        <v>19</v>
      </c>
      <c r="E122" s="112">
        <v>0</v>
      </c>
      <c r="F122" s="112">
        <f t="shared" si="5"/>
        <v>115513150</v>
      </c>
      <c r="G122" s="112">
        <f>141241850-46769000-6000000-14800000-10000000</f>
        <v>63672850</v>
      </c>
      <c r="H122" s="113">
        <f>G122/B122*100</f>
        <v>35.534500463205831</v>
      </c>
      <c r="J122" s="81">
        <f>142163750-115600000</f>
        <v>26563750</v>
      </c>
    </row>
    <row r="123" spans="1:10" ht="24.75" thickBot="1" x14ac:dyDescent="0.3">
      <c r="A123" s="106" t="s">
        <v>1085</v>
      </c>
      <c r="B123" s="107">
        <f>SUM(B124:B127)</f>
        <v>100000000</v>
      </c>
      <c r="C123" s="108"/>
      <c r="D123" s="108"/>
      <c r="E123" s="109"/>
      <c r="F123" s="107">
        <f t="shared" si="5"/>
        <v>447850</v>
      </c>
      <c r="G123" s="109">
        <f>SUM(G124:G127)</f>
        <v>99552150</v>
      </c>
      <c r="H123" s="114">
        <f>AVERAGE(H125:H127)</f>
        <v>100</v>
      </c>
    </row>
    <row r="124" spans="1:10" ht="12.75" thickBot="1" x14ac:dyDescent="0.3">
      <c r="A124" s="111" t="s">
        <v>1086</v>
      </c>
      <c r="B124" s="120">
        <v>0</v>
      </c>
      <c r="C124" s="111" t="s">
        <v>19</v>
      </c>
      <c r="D124" s="111" t="s">
        <v>19</v>
      </c>
      <c r="E124" s="112">
        <v>0</v>
      </c>
      <c r="F124" s="112">
        <f t="shared" si="5"/>
        <v>0</v>
      </c>
      <c r="G124" s="112">
        <v>0</v>
      </c>
      <c r="H124" s="113">
        <v>0</v>
      </c>
    </row>
    <row r="125" spans="1:10" ht="12.75" thickBot="1" x14ac:dyDescent="0.3">
      <c r="A125" s="111" t="s">
        <v>1087</v>
      </c>
      <c r="B125" s="112">
        <v>2340000</v>
      </c>
      <c r="C125" s="111" t="s">
        <v>19</v>
      </c>
      <c r="D125" s="111" t="s">
        <v>19</v>
      </c>
      <c r="E125" s="112"/>
      <c r="F125" s="112">
        <f t="shared" si="5"/>
        <v>90000</v>
      </c>
      <c r="G125" s="112">
        <v>2250000</v>
      </c>
      <c r="H125" s="113">
        <v>100</v>
      </c>
    </row>
    <row r="126" spans="1:10" ht="12.75" thickBot="1" x14ac:dyDescent="0.3">
      <c r="A126" s="111" t="s">
        <v>1088</v>
      </c>
      <c r="B126" s="112">
        <v>44570000</v>
      </c>
      <c r="C126" s="111" t="s">
        <v>19</v>
      </c>
      <c r="D126" s="111" t="s">
        <v>19</v>
      </c>
      <c r="E126" s="112"/>
      <c r="F126" s="112">
        <f t="shared" si="5"/>
        <v>0</v>
      </c>
      <c r="G126" s="112">
        <v>44570000</v>
      </c>
      <c r="H126" s="113">
        <v>100</v>
      </c>
    </row>
    <row r="127" spans="1:10" ht="12.75" thickBot="1" x14ac:dyDescent="0.3">
      <c r="A127" s="111" t="s">
        <v>1089</v>
      </c>
      <c r="B127" s="112">
        <v>53090000</v>
      </c>
      <c r="C127" s="111" t="s">
        <v>19</v>
      </c>
      <c r="D127" s="111" t="s">
        <v>19</v>
      </c>
      <c r="E127" s="112"/>
      <c r="F127" s="112">
        <f t="shared" si="5"/>
        <v>357850</v>
      </c>
      <c r="G127" s="112">
        <f>45625000+7107150</f>
        <v>52732150</v>
      </c>
      <c r="H127" s="113">
        <v>100</v>
      </c>
    </row>
    <row r="128" spans="1:10" ht="24.75" thickBot="1" x14ac:dyDescent="0.3">
      <c r="A128" s="97" t="s">
        <v>200</v>
      </c>
      <c r="B128" s="98">
        <f>SUM(B129)</f>
        <v>2558075000</v>
      </c>
      <c r="C128" s="98"/>
      <c r="D128" s="98"/>
      <c r="E128" s="99">
        <f>SUM(E129)</f>
        <v>0</v>
      </c>
      <c r="F128" s="98">
        <f t="shared" si="5"/>
        <v>410780500</v>
      </c>
      <c r="G128" s="98">
        <f>SUM(G129)</f>
        <v>2147294500</v>
      </c>
      <c r="H128" s="100">
        <f>H129</f>
        <v>92.829562839737264</v>
      </c>
    </row>
    <row r="129" spans="1:10" ht="24.75" thickBot="1" x14ac:dyDescent="0.3">
      <c r="A129" s="101" t="s">
        <v>202</v>
      </c>
      <c r="B129" s="102">
        <f>SUM(B130,B139)</f>
        <v>2558075000</v>
      </c>
      <c r="C129" s="103"/>
      <c r="D129" s="103"/>
      <c r="E129" s="104"/>
      <c r="F129" s="102">
        <f t="shared" si="5"/>
        <v>410780500</v>
      </c>
      <c r="G129" s="102">
        <f>SUM(G130,G139)</f>
        <v>2147294500</v>
      </c>
      <c r="H129" s="125">
        <f>AVERAGE(H130,H139)</f>
        <v>92.829562839737264</v>
      </c>
    </row>
    <row r="130" spans="1:10" ht="24.75" thickBot="1" x14ac:dyDescent="0.3">
      <c r="A130" s="106" t="s">
        <v>1090</v>
      </c>
      <c r="B130" s="107">
        <f>SUM(B131:B138)</f>
        <v>412305000</v>
      </c>
      <c r="C130" s="108"/>
      <c r="D130" s="108"/>
      <c r="E130" s="109"/>
      <c r="F130" s="107">
        <f t="shared" si="5"/>
        <v>27068500</v>
      </c>
      <c r="G130" s="109">
        <f>SUM(G131:G138)</f>
        <v>385236500</v>
      </c>
      <c r="H130" s="114">
        <f>AVERAGE(H131:H137)</f>
        <v>97.093191613540441</v>
      </c>
      <c r="J130" s="81">
        <f>93145000-3400000</f>
        <v>89745000</v>
      </c>
    </row>
    <row r="131" spans="1:10" ht="24.75" thickBot="1" x14ac:dyDescent="0.3">
      <c r="A131" s="111" t="s">
        <v>1091</v>
      </c>
      <c r="B131" s="112">
        <v>19658000</v>
      </c>
      <c r="C131" s="111" t="s">
        <v>49</v>
      </c>
      <c r="D131" s="111" t="s">
        <v>194</v>
      </c>
      <c r="E131" s="112">
        <v>19658000</v>
      </c>
      <c r="F131" s="112">
        <f t="shared" si="5"/>
        <v>0</v>
      </c>
      <c r="G131" s="112">
        <v>19658000</v>
      </c>
      <c r="H131" s="113">
        <v>100</v>
      </c>
    </row>
    <row r="132" spans="1:10" ht="36.75" thickBot="1" x14ac:dyDescent="0.3">
      <c r="A132" s="111" t="s">
        <v>1092</v>
      </c>
      <c r="B132" s="112">
        <v>39300000</v>
      </c>
      <c r="C132" s="111" t="s">
        <v>49</v>
      </c>
      <c r="D132" s="111" t="s">
        <v>194</v>
      </c>
      <c r="E132" s="112">
        <v>39300000</v>
      </c>
      <c r="F132" s="112">
        <f t="shared" si="5"/>
        <v>0</v>
      </c>
      <c r="G132" s="112">
        <v>39300000</v>
      </c>
      <c r="H132" s="113">
        <v>100</v>
      </c>
    </row>
    <row r="133" spans="1:10" ht="24.75" thickBot="1" x14ac:dyDescent="0.3">
      <c r="A133" s="111" t="s">
        <v>1093</v>
      </c>
      <c r="B133" s="112">
        <v>19647000</v>
      </c>
      <c r="C133" s="111" t="s">
        <v>49</v>
      </c>
      <c r="D133" s="111" t="s">
        <v>194</v>
      </c>
      <c r="E133" s="112">
        <v>19647000</v>
      </c>
      <c r="F133" s="112">
        <f t="shared" ref="F133:F138" si="6">B133-G133</f>
        <v>0</v>
      </c>
      <c r="G133" s="112">
        <v>19647000</v>
      </c>
      <c r="H133" s="113">
        <v>100</v>
      </c>
    </row>
    <row r="134" spans="1:10" ht="24.75" thickBot="1" x14ac:dyDescent="0.3">
      <c r="A134" s="111" t="s">
        <v>1094</v>
      </c>
      <c r="B134" s="112">
        <v>59000000</v>
      </c>
      <c r="C134" s="111" t="s">
        <v>49</v>
      </c>
      <c r="D134" s="111" t="s">
        <v>194</v>
      </c>
      <c r="E134" s="112">
        <v>59000000</v>
      </c>
      <c r="F134" s="112">
        <f t="shared" si="6"/>
        <v>0</v>
      </c>
      <c r="G134" s="112">
        <v>59000000</v>
      </c>
      <c r="H134" s="113">
        <v>100</v>
      </c>
    </row>
    <row r="135" spans="1:10" ht="12.75" thickBot="1" x14ac:dyDescent="0.3">
      <c r="A135" s="111" t="s">
        <v>1095</v>
      </c>
      <c r="B135" s="112">
        <v>46620000</v>
      </c>
      <c r="C135" s="111" t="s">
        <v>49</v>
      </c>
      <c r="D135" s="111" t="s">
        <v>194</v>
      </c>
      <c r="E135" s="112">
        <v>46620000</v>
      </c>
      <c r="F135" s="112">
        <f t="shared" si="6"/>
        <v>0</v>
      </c>
      <c r="G135" s="112">
        <v>46620000</v>
      </c>
      <c r="H135" s="113">
        <v>100</v>
      </c>
    </row>
    <row r="136" spans="1:10" ht="12.75" thickBot="1" x14ac:dyDescent="0.3">
      <c r="A136" s="111" t="s">
        <v>1096</v>
      </c>
      <c r="B136" s="112">
        <v>40800000</v>
      </c>
      <c r="C136" s="111" t="s">
        <v>49</v>
      </c>
      <c r="D136" s="111" t="s">
        <v>72</v>
      </c>
      <c r="E136" s="112">
        <v>40800000</v>
      </c>
      <c r="F136" s="112">
        <f t="shared" si="6"/>
        <v>0</v>
      </c>
      <c r="G136" s="112">
        <f>3400000+3400000+3400000+3400000+3400000+3400000+3400000+3400000+3400000+3400000+3400000+3400000</f>
        <v>40800000</v>
      </c>
      <c r="H136" s="113">
        <v>100</v>
      </c>
    </row>
    <row r="137" spans="1:10" ht="12.75" thickBot="1" x14ac:dyDescent="0.3">
      <c r="A137" s="111" t="s">
        <v>233</v>
      </c>
      <c r="B137" s="112">
        <v>127280000</v>
      </c>
      <c r="C137" s="111" t="s">
        <v>19</v>
      </c>
      <c r="D137" s="111" t="s">
        <v>19</v>
      </c>
      <c r="E137" s="112">
        <v>0</v>
      </c>
      <c r="F137" s="112">
        <f t="shared" si="6"/>
        <v>25898500</v>
      </c>
      <c r="G137" s="81">
        <v>101381500</v>
      </c>
      <c r="H137" s="113">
        <f>G137/B137*100</f>
        <v>79.652341294783156</v>
      </c>
    </row>
    <row r="138" spans="1:10" ht="36.75" thickBot="1" x14ac:dyDescent="0.3">
      <c r="A138" s="111" t="s">
        <v>1097</v>
      </c>
      <c r="B138" s="112">
        <v>60000000</v>
      </c>
      <c r="C138" s="111" t="s">
        <v>49</v>
      </c>
      <c r="D138" s="111" t="s">
        <v>194</v>
      </c>
      <c r="E138" s="112">
        <v>58830000</v>
      </c>
      <c r="F138" s="112">
        <f t="shared" si="6"/>
        <v>1170000</v>
      </c>
      <c r="G138" s="112">
        <v>58830000</v>
      </c>
      <c r="H138" s="113">
        <v>100</v>
      </c>
    </row>
    <row r="139" spans="1:10" ht="36.75" thickBot="1" x14ac:dyDescent="0.3">
      <c r="A139" s="106" t="s">
        <v>1098</v>
      </c>
      <c r="B139" s="107">
        <f>SUM(B140:B143)</f>
        <v>2145770000</v>
      </c>
      <c r="C139" s="107"/>
      <c r="D139" s="107"/>
      <c r="E139" s="107"/>
      <c r="F139" s="107">
        <f>SUM(F140:F142)</f>
        <v>380707000</v>
      </c>
      <c r="G139" s="107">
        <f>SUM(G140:G143)</f>
        <v>1762058000</v>
      </c>
      <c r="H139" s="114">
        <f>AVERAGE(H140:H143)</f>
        <v>88.565934065934073</v>
      </c>
    </row>
    <row r="140" spans="1:10" ht="24.75" thickBot="1" x14ac:dyDescent="0.3">
      <c r="A140" s="111" t="s">
        <v>1099</v>
      </c>
      <c r="B140" s="112">
        <v>722000000</v>
      </c>
      <c r="C140" s="111" t="s">
        <v>49</v>
      </c>
      <c r="D140" s="111" t="s">
        <v>89</v>
      </c>
      <c r="E140" s="112">
        <v>619415000</v>
      </c>
      <c r="F140" s="112">
        <f t="shared" ref="F140:F166" si="7">B140-G140</f>
        <v>102585000</v>
      </c>
      <c r="G140" s="112">
        <f>185824500+108397625+325192875</f>
        <v>619415000</v>
      </c>
      <c r="H140" s="113">
        <v>100</v>
      </c>
    </row>
    <row r="141" spans="1:10" ht="24.75" thickBot="1" x14ac:dyDescent="0.3">
      <c r="A141" s="111" t="s">
        <v>1100</v>
      </c>
      <c r="B141" s="112">
        <v>1307370000</v>
      </c>
      <c r="C141" s="111" t="s">
        <v>49</v>
      </c>
      <c r="D141" s="111" t="s">
        <v>89</v>
      </c>
      <c r="E141" s="112">
        <v>1045896000</v>
      </c>
      <c r="F141" s="112">
        <f t="shared" si="7"/>
        <v>261474000</v>
      </c>
      <c r="G141" s="112">
        <f>313768800+183031800+183031800+183031800+183031800</f>
        <v>1045896000</v>
      </c>
      <c r="H141" s="113">
        <v>100</v>
      </c>
    </row>
    <row r="142" spans="1:10" ht="12.75" thickBot="1" x14ac:dyDescent="0.3">
      <c r="A142" s="111" t="s">
        <v>52</v>
      </c>
      <c r="B142" s="112">
        <f>16400000+20000000</f>
        <v>36400000</v>
      </c>
      <c r="C142" s="111" t="s">
        <v>19</v>
      </c>
      <c r="D142" s="111" t="s">
        <v>19</v>
      </c>
      <c r="E142" s="112">
        <v>0</v>
      </c>
      <c r="F142" s="112">
        <f t="shared" si="7"/>
        <v>16648000</v>
      </c>
      <c r="G142" s="112">
        <f>3850000+5125000+8505000+2272000</f>
        <v>19752000</v>
      </c>
      <c r="H142" s="113">
        <f>G142/B142*100</f>
        <v>54.263736263736263</v>
      </c>
    </row>
    <row r="143" spans="1:10" ht="49.5" customHeight="1" thickBot="1" x14ac:dyDescent="0.3">
      <c r="A143" s="111" t="s">
        <v>1101</v>
      </c>
      <c r="B143" s="112">
        <v>80000000</v>
      </c>
      <c r="C143" s="111" t="s">
        <v>49</v>
      </c>
      <c r="D143" s="111" t="s">
        <v>194</v>
      </c>
      <c r="E143" s="112">
        <v>76995000</v>
      </c>
      <c r="F143" s="112">
        <f t="shared" si="7"/>
        <v>3005000</v>
      </c>
      <c r="G143" s="112">
        <v>76995000</v>
      </c>
      <c r="H143" s="113">
        <v>100</v>
      </c>
    </row>
    <row r="144" spans="1:10" ht="24.75" thickBot="1" x14ac:dyDescent="0.3">
      <c r="A144" s="97" t="s">
        <v>235</v>
      </c>
      <c r="B144" s="98">
        <f>SUM(B145)</f>
        <v>9246962000</v>
      </c>
      <c r="C144" s="98"/>
      <c r="D144" s="98"/>
      <c r="E144" s="99"/>
      <c r="F144" s="98">
        <f t="shared" si="7"/>
        <v>1103909997</v>
      </c>
      <c r="G144" s="98">
        <f>SUM(G145)</f>
        <v>8143052003</v>
      </c>
      <c r="H144" s="100">
        <f>H145</f>
        <v>88.06</v>
      </c>
    </row>
    <row r="145" spans="1:9" ht="24.75" thickBot="1" x14ac:dyDescent="0.3">
      <c r="A145" s="101" t="s">
        <v>237</v>
      </c>
      <c r="B145" s="102">
        <f>SUM(B146,B148)</f>
        <v>9246962000</v>
      </c>
      <c r="C145" s="103"/>
      <c r="D145" s="103"/>
      <c r="E145" s="104"/>
      <c r="F145" s="102">
        <f t="shared" si="7"/>
        <v>1103909997</v>
      </c>
      <c r="G145" s="102">
        <f>SUM(G146,G148)</f>
        <v>8143052003</v>
      </c>
      <c r="H145" s="125">
        <v>88.06</v>
      </c>
    </row>
    <row r="146" spans="1:9" ht="48.75" thickBot="1" x14ac:dyDescent="0.3">
      <c r="A146" s="106" t="s">
        <v>1102</v>
      </c>
      <c r="B146" s="107">
        <f>SUM(B147)</f>
        <v>89875000</v>
      </c>
      <c r="C146" s="108"/>
      <c r="D146" s="108"/>
      <c r="E146" s="109"/>
      <c r="F146" s="107">
        <f t="shared" si="7"/>
        <v>21075000</v>
      </c>
      <c r="G146" s="109">
        <f>SUM(G147)</f>
        <v>68800000</v>
      </c>
      <c r="H146" s="114">
        <f>G146/B146*100</f>
        <v>76.550764951321284</v>
      </c>
    </row>
    <row r="147" spans="1:9" ht="12.75" thickBot="1" x14ac:dyDescent="0.3">
      <c r="A147" s="111" t="s">
        <v>18</v>
      </c>
      <c r="B147" s="112">
        <v>89875000</v>
      </c>
      <c r="C147" s="111" t="s">
        <v>19</v>
      </c>
      <c r="D147" s="111" t="s">
        <v>19</v>
      </c>
      <c r="E147" s="112">
        <v>0</v>
      </c>
      <c r="F147" s="112">
        <f t="shared" si="7"/>
        <v>21075000</v>
      </c>
      <c r="G147" s="112">
        <v>68800000</v>
      </c>
      <c r="H147" s="113">
        <f>G147/B147*100</f>
        <v>76.550764951321284</v>
      </c>
    </row>
    <row r="148" spans="1:9" ht="24.75" thickBot="1" x14ac:dyDescent="0.3">
      <c r="A148" s="106" t="s">
        <v>1103</v>
      </c>
      <c r="B148" s="107">
        <f>SUM(B149:B166)</f>
        <v>9157087000</v>
      </c>
      <c r="C148" s="108"/>
      <c r="D148" s="108"/>
      <c r="E148" s="109"/>
      <c r="F148" s="107">
        <f t="shared" si="7"/>
        <v>1082834997</v>
      </c>
      <c r="G148" s="109">
        <f>SUM(G149:G166)</f>
        <v>8074252003</v>
      </c>
      <c r="H148" s="114">
        <f>AVERAGE(H149:H166)</f>
        <v>98.10552203332648</v>
      </c>
      <c r="I148" s="81">
        <f>2014573178-G148</f>
        <v>-6059678825</v>
      </c>
    </row>
    <row r="149" spans="1:9" ht="24.75" thickBot="1" x14ac:dyDescent="0.3">
      <c r="A149" s="111" t="s">
        <v>1104</v>
      </c>
      <c r="B149" s="112">
        <v>50000000</v>
      </c>
      <c r="C149" s="111" t="s">
        <v>49</v>
      </c>
      <c r="D149" s="111" t="s">
        <v>194</v>
      </c>
      <c r="E149" s="112">
        <v>49517000</v>
      </c>
      <c r="F149" s="112">
        <f t="shared" si="7"/>
        <v>10386400</v>
      </c>
      <c r="G149" s="112">
        <v>39613600</v>
      </c>
      <c r="H149" s="113">
        <v>100</v>
      </c>
    </row>
    <row r="150" spans="1:9" ht="24.75" thickBot="1" x14ac:dyDescent="0.3">
      <c r="A150" s="111" t="s">
        <v>1105</v>
      </c>
      <c r="B150" s="112">
        <v>80000000</v>
      </c>
      <c r="C150" s="111" t="s">
        <v>49</v>
      </c>
      <c r="D150" s="111" t="s">
        <v>194</v>
      </c>
      <c r="E150" s="112">
        <v>78810000</v>
      </c>
      <c r="F150" s="112">
        <f t="shared" si="7"/>
        <v>80000000</v>
      </c>
      <c r="G150" s="112">
        <v>0</v>
      </c>
      <c r="H150" s="113">
        <v>94.87</v>
      </c>
    </row>
    <row r="151" spans="1:9" ht="12.75" thickBot="1" x14ac:dyDescent="0.3">
      <c r="A151" s="111" t="s">
        <v>1106</v>
      </c>
      <c r="B151" s="112">
        <v>3750000000</v>
      </c>
      <c r="C151" s="111" t="s">
        <v>49</v>
      </c>
      <c r="D151" s="111" t="s">
        <v>89</v>
      </c>
      <c r="E151" s="112">
        <v>3246089000</v>
      </c>
      <c r="F151" s="112">
        <f t="shared" si="7"/>
        <v>824492100</v>
      </c>
      <c r="G151" s="112">
        <f>973826700+893467250+1058213950</f>
        <v>2925507900</v>
      </c>
      <c r="H151" s="113">
        <v>94.87</v>
      </c>
    </row>
    <row r="152" spans="1:9" ht="12.75" thickBot="1" x14ac:dyDescent="0.3">
      <c r="A152" s="111" t="s">
        <v>1107</v>
      </c>
      <c r="B152" s="112">
        <v>40000000</v>
      </c>
      <c r="C152" s="111" t="s">
        <v>49</v>
      </c>
      <c r="D152" s="111" t="s">
        <v>194</v>
      </c>
      <c r="E152" s="112">
        <v>39538000</v>
      </c>
      <c r="F152" s="112">
        <f t="shared" si="7"/>
        <v>462000</v>
      </c>
      <c r="G152" s="112">
        <f>31630400+7907600</f>
        <v>39538000</v>
      </c>
      <c r="H152" s="113">
        <v>100</v>
      </c>
    </row>
    <row r="153" spans="1:9" ht="24.75" thickBot="1" x14ac:dyDescent="0.3">
      <c r="A153" s="111" t="s">
        <v>1108</v>
      </c>
      <c r="B153" s="112">
        <v>15000000</v>
      </c>
      <c r="C153" s="111" t="s">
        <v>49</v>
      </c>
      <c r="D153" s="111" t="s">
        <v>194</v>
      </c>
      <c r="E153" s="112">
        <v>14801000</v>
      </c>
      <c r="F153" s="112">
        <f t="shared" si="7"/>
        <v>199000</v>
      </c>
      <c r="G153" s="112">
        <v>14801000</v>
      </c>
      <c r="H153" s="113">
        <v>100</v>
      </c>
    </row>
    <row r="154" spans="1:9" ht="12.75" thickBot="1" x14ac:dyDescent="0.3">
      <c r="A154" s="111" t="s">
        <v>1109</v>
      </c>
      <c r="B154" s="112">
        <v>200000000</v>
      </c>
      <c r="C154" s="111" t="s">
        <v>49</v>
      </c>
      <c r="D154" s="111" t="s">
        <v>89</v>
      </c>
      <c r="E154" s="112">
        <v>197094000</v>
      </c>
      <c r="F154" s="112">
        <f t="shared" si="7"/>
        <v>2906000</v>
      </c>
      <c r="G154" s="112">
        <v>197094000</v>
      </c>
      <c r="H154" s="113">
        <v>100</v>
      </c>
    </row>
    <row r="155" spans="1:9" ht="12.75" thickBot="1" x14ac:dyDescent="0.3">
      <c r="A155" s="111" t="s">
        <v>1110</v>
      </c>
      <c r="B155" s="112">
        <v>10000000</v>
      </c>
      <c r="C155" s="111" t="s">
        <v>49</v>
      </c>
      <c r="D155" s="111" t="s">
        <v>194</v>
      </c>
      <c r="E155" s="112">
        <v>9823000</v>
      </c>
      <c r="F155" s="112">
        <f t="shared" si="7"/>
        <v>177000</v>
      </c>
      <c r="G155" s="112">
        <v>9823000</v>
      </c>
      <c r="H155" s="113">
        <v>100</v>
      </c>
    </row>
    <row r="156" spans="1:9" ht="24.75" thickBot="1" x14ac:dyDescent="0.3">
      <c r="A156" s="111" t="s">
        <v>1111</v>
      </c>
      <c r="B156" s="112">
        <v>15000000</v>
      </c>
      <c r="C156" s="111" t="s">
        <v>49</v>
      </c>
      <c r="D156" s="111" t="s">
        <v>194</v>
      </c>
      <c r="E156" s="112">
        <v>14874000</v>
      </c>
      <c r="F156" s="112">
        <f t="shared" si="7"/>
        <v>126000</v>
      </c>
      <c r="G156" s="112">
        <v>14874000</v>
      </c>
      <c r="H156" s="113">
        <v>100</v>
      </c>
    </row>
    <row r="157" spans="1:9" ht="12.75" thickBot="1" x14ac:dyDescent="0.3">
      <c r="A157" s="111" t="s">
        <v>1112</v>
      </c>
      <c r="B157" s="112">
        <v>200000000</v>
      </c>
      <c r="C157" s="111" t="s">
        <v>49</v>
      </c>
      <c r="D157" s="111" t="s">
        <v>89</v>
      </c>
      <c r="E157" s="112">
        <v>197491000</v>
      </c>
      <c r="F157" s="112">
        <f t="shared" si="7"/>
        <v>2509000</v>
      </c>
      <c r="G157" s="112">
        <v>197491000</v>
      </c>
      <c r="H157" s="113">
        <v>100</v>
      </c>
    </row>
    <row r="158" spans="1:9" ht="24.75" thickBot="1" x14ac:dyDescent="0.3">
      <c r="A158" s="111" t="s">
        <v>1113</v>
      </c>
      <c r="B158" s="112">
        <v>570000000</v>
      </c>
      <c r="C158" s="111" t="s">
        <v>19</v>
      </c>
      <c r="D158" s="111" t="s">
        <v>19</v>
      </c>
      <c r="E158" s="112">
        <v>570000000</v>
      </c>
      <c r="F158" s="112">
        <f t="shared" si="7"/>
        <v>0</v>
      </c>
      <c r="G158" s="112">
        <f t="shared" ref="G158:G163" si="8">142500000+256500000+171000000</f>
        <v>570000000</v>
      </c>
      <c r="H158" s="113">
        <f t="shared" ref="H158:H163" si="9">G158/B158*100</f>
        <v>100</v>
      </c>
    </row>
    <row r="159" spans="1:9" ht="24.75" thickBot="1" x14ac:dyDescent="0.3">
      <c r="A159" s="111" t="s">
        <v>1114</v>
      </c>
      <c r="B159" s="112">
        <v>570000000</v>
      </c>
      <c r="C159" s="111" t="s">
        <v>19</v>
      </c>
      <c r="D159" s="111" t="s">
        <v>19</v>
      </c>
      <c r="E159" s="112">
        <v>570000000</v>
      </c>
      <c r="F159" s="112">
        <f t="shared" si="7"/>
        <v>0</v>
      </c>
      <c r="G159" s="112">
        <f t="shared" si="8"/>
        <v>570000000</v>
      </c>
      <c r="H159" s="113">
        <f t="shared" si="9"/>
        <v>100</v>
      </c>
    </row>
    <row r="160" spans="1:9" ht="24.75" thickBot="1" x14ac:dyDescent="0.3">
      <c r="A160" s="111" t="s">
        <v>1115</v>
      </c>
      <c r="B160" s="112">
        <v>570000000</v>
      </c>
      <c r="C160" s="111" t="s">
        <v>19</v>
      </c>
      <c r="D160" s="111" t="s">
        <v>19</v>
      </c>
      <c r="E160" s="112">
        <v>570000000</v>
      </c>
      <c r="F160" s="112">
        <f t="shared" si="7"/>
        <v>0</v>
      </c>
      <c r="G160" s="112">
        <f t="shared" si="8"/>
        <v>570000000</v>
      </c>
      <c r="H160" s="113">
        <f t="shared" si="9"/>
        <v>100</v>
      </c>
    </row>
    <row r="161" spans="1:8" ht="24.75" thickBot="1" x14ac:dyDescent="0.3">
      <c r="A161" s="111" t="s">
        <v>1116</v>
      </c>
      <c r="B161" s="112">
        <v>570000000</v>
      </c>
      <c r="C161" s="111" t="s">
        <v>19</v>
      </c>
      <c r="D161" s="111" t="s">
        <v>19</v>
      </c>
      <c r="E161" s="112">
        <v>570000000</v>
      </c>
      <c r="F161" s="112">
        <f t="shared" si="7"/>
        <v>0</v>
      </c>
      <c r="G161" s="112">
        <f t="shared" si="8"/>
        <v>570000000</v>
      </c>
      <c r="H161" s="113">
        <f t="shared" si="9"/>
        <v>100</v>
      </c>
    </row>
    <row r="162" spans="1:8" ht="12.75" thickBot="1" x14ac:dyDescent="0.3">
      <c r="A162" s="111" t="s">
        <v>1117</v>
      </c>
      <c r="B162" s="112">
        <v>570000000</v>
      </c>
      <c r="C162" s="111" t="s">
        <v>19</v>
      </c>
      <c r="D162" s="111" t="s">
        <v>19</v>
      </c>
      <c r="E162" s="112">
        <v>570000000</v>
      </c>
      <c r="F162" s="112">
        <f t="shared" si="7"/>
        <v>0</v>
      </c>
      <c r="G162" s="112">
        <f t="shared" si="8"/>
        <v>570000000</v>
      </c>
      <c r="H162" s="113">
        <f t="shared" si="9"/>
        <v>100</v>
      </c>
    </row>
    <row r="163" spans="1:8" ht="24.75" thickBot="1" x14ac:dyDescent="0.3">
      <c r="A163" s="111" t="s">
        <v>1118</v>
      </c>
      <c r="B163" s="112">
        <v>570000000</v>
      </c>
      <c r="C163" s="111" t="s">
        <v>19</v>
      </c>
      <c r="D163" s="111" t="s">
        <v>19</v>
      </c>
      <c r="E163" s="112">
        <v>570000000</v>
      </c>
      <c r="F163" s="112">
        <f t="shared" si="7"/>
        <v>0</v>
      </c>
      <c r="G163" s="112">
        <f t="shared" si="8"/>
        <v>570000000</v>
      </c>
      <c r="H163" s="113">
        <f t="shared" si="9"/>
        <v>100</v>
      </c>
    </row>
    <row r="164" spans="1:8" ht="36.75" thickBot="1" x14ac:dyDescent="0.3">
      <c r="A164" s="111" t="s">
        <v>1119</v>
      </c>
      <c r="B164" s="112">
        <v>352840000</v>
      </c>
      <c r="C164" s="111" t="s">
        <v>49</v>
      </c>
      <c r="D164" s="111" t="s">
        <v>50</v>
      </c>
      <c r="E164" s="112">
        <v>313000000</v>
      </c>
      <c r="F164" s="112">
        <f t="shared" si="7"/>
        <v>39840000</v>
      </c>
      <c r="G164" s="112">
        <v>313000000</v>
      </c>
      <c r="H164" s="113">
        <v>100</v>
      </c>
    </row>
    <row r="165" spans="1:8" ht="12.75" thickBot="1" x14ac:dyDescent="0.3">
      <c r="A165" s="111" t="s">
        <v>1120</v>
      </c>
      <c r="B165" s="112">
        <v>617850000</v>
      </c>
      <c r="C165" s="111" t="s">
        <v>49</v>
      </c>
      <c r="D165" s="111" t="s">
        <v>50</v>
      </c>
      <c r="E165" s="126">
        <v>593000000</v>
      </c>
      <c r="F165" s="112">
        <f t="shared" si="7"/>
        <v>24850000</v>
      </c>
      <c r="G165" s="126">
        <v>593000000</v>
      </c>
      <c r="H165" s="113">
        <v>100</v>
      </c>
    </row>
    <row r="166" spans="1:8" ht="12.75" thickBot="1" x14ac:dyDescent="0.3">
      <c r="A166" s="111" t="s">
        <v>120</v>
      </c>
      <c r="B166" s="112">
        <f>409772000-3375000</f>
        <v>406397000</v>
      </c>
      <c r="C166" s="111" t="s">
        <v>19</v>
      </c>
      <c r="D166" s="111" t="s">
        <v>19</v>
      </c>
      <c r="E166" s="112">
        <v>0</v>
      </c>
      <c r="F166" s="112">
        <f t="shared" si="7"/>
        <v>96887497</v>
      </c>
      <c r="G166" s="112">
        <f>31236864+55317614+27948000+72161254+83469271+39376500</f>
        <v>309509503</v>
      </c>
      <c r="H166" s="113">
        <f>G166/B166*100</f>
        <v>76.159396599876473</v>
      </c>
    </row>
    <row r="167" spans="1:8" ht="24.75" thickBot="1" x14ac:dyDescent="0.3">
      <c r="A167" s="97" t="s">
        <v>252</v>
      </c>
      <c r="B167" s="98">
        <f>SUM(B168)</f>
        <v>8899789000</v>
      </c>
      <c r="C167" s="98"/>
      <c r="D167" s="98"/>
      <c r="E167" s="99"/>
      <c r="F167" s="98">
        <f>SUM(F168)</f>
        <v>2398926492</v>
      </c>
      <c r="G167" s="98">
        <f>SUM(G168)</f>
        <v>6500862508</v>
      </c>
      <c r="H167" s="127">
        <f>SUM(H168)</f>
        <v>90.773213635071002</v>
      </c>
    </row>
    <row r="168" spans="1:8" ht="24.75" thickBot="1" x14ac:dyDescent="0.3">
      <c r="A168" s="101" t="s">
        <v>254</v>
      </c>
      <c r="B168" s="102">
        <f>SUM(B169,B171)</f>
        <v>8899789000</v>
      </c>
      <c r="C168" s="102"/>
      <c r="D168" s="102"/>
      <c r="E168" s="102"/>
      <c r="F168" s="102">
        <f>SUM(F169,F171)</f>
        <v>2398926492</v>
      </c>
      <c r="G168" s="102">
        <f>SUM(G169,G171)</f>
        <v>6500862508</v>
      </c>
      <c r="H168" s="128">
        <f>AVERAGE(H169,H171)</f>
        <v>90.773213635071002</v>
      </c>
    </row>
    <row r="169" spans="1:8" ht="48.75" thickBot="1" x14ac:dyDescent="0.3">
      <c r="A169" s="106" t="s">
        <v>1121</v>
      </c>
      <c r="B169" s="107">
        <f>SUM(B170)</f>
        <v>66000000</v>
      </c>
      <c r="C169" s="108"/>
      <c r="D169" s="108"/>
      <c r="E169" s="109"/>
      <c r="F169" s="107">
        <f t="shared" ref="F169:F232" si="10">B169-G169</f>
        <v>6506500</v>
      </c>
      <c r="G169" s="107">
        <f>SUM(G170)</f>
        <v>59493500</v>
      </c>
      <c r="H169" s="114">
        <f>G169/B169*100</f>
        <v>90.141666666666666</v>
      </c>
    </row>
    <row r="170" spans="1:8" ht="12.75" thickBot="1" x14ac:dyDescent="0.3">
      <c r="A170" s="111" t="s">
        <v>18</v>
      </c>
      <c r="B170" s="112">
        <v>66000000</v>
      </c>
      <c r="C170" s="111" t="s">
        <v>19</v>
      </c>
      <c r="D170" s="111" t="s">
        <v>19</v>
      </c>
      <c r="E170" s="112">
        <v>0</v>
      </c>
      <c r="F170" s="112">
        <f t="shared" si="10"/>
        <v>6506500</v>
      </c>
      <c r="G170" s="112">
        <v>59493500</v>
      </c>
      <c r="H170" s="113">
        <f>G170/B170*100</f>
        <v>90.141666666666666</v>
      </c>
    </row>
    <row r="171" spans="1:8" ht="36.75" thickBot="1" x14ac:dyDescent="0.3">
      <c r="A171" s="106" t="s">
        <v>1122</v>
      </c>
      <c r="B171" s="107">
        <f>SUM(B172:B179)</f>
        <v>8833789000</v>
      </c>
      <c r="C171" s="108"/>
      <c r="D171" s="108"/>
      <c r="E171" s="109"/>
      <c r="F171" s="107">
        <f t="shared" si="10"/>
        <v>2392419992</v>
      </c>
      <c r="G171" s="109">
        <f>SUM(G172:G179)</f>
        <v>6441369008</v>
      </c>
      <c r="H171" s="114">
        <f>AVERAGE(H172:H179)</f>
        <v>91.404760603475339</v>
      </c>
    </row>
    <row r="172" spans="1:8" ht="24.75" thickBot="1" x14ac:dyDescent="0.3">
      <c r="A172" s="111" t="s">
        <v>1123</v>
      </c>
      <c r="B172" s="112">
        <v>225000000</v>
      </c>
      <c r="C172" s="111" t="s">
        <v>49</v>
      </c>
      <c r="D172" s="111" t="s">
        <v>194</v>
      </c>
      <c r="E172" s="112">
        <v>187500000</v>
      </c>
      <c r="F172" s="112">
        <f t="shared" si="10"/>
        <v>106875000</v>
      </c>
      <c r="G172" s="112">
        <f>42187500+75937500</f>
        <v>118125000</v>
      </c>
      <c r="H172" s="113">
        <v>76.7</v>
      </c>
    </row>
    <row r="173" spans="1:8" ht="12.75" thickBot="1" x14ac:dyDescent="0.3">
      <c r="A173" s="111" t="s">
        <v>1124</v>
      </c>
      <c r="B173" s="112">
        <v>6840000000</v>
      </c>
      <c r="C173" s="111" t="s">
        <v>49</v>
      </c>
      <c r="D173" s="111" t="s">
        <v>89</v>
      </c>
      <c r="E173" s="112">
        <v>5777779000</v>
      </c>
      <c r="F173" s="112">
        <f t="shared" si="10"/>
        <v>2248138117</v>
      </c>
      <c r="G173" s="112">
        <f>1444444750+543833173+1300244965+1303338995</f>
        <v>4591861883</v>
      </c>
      <c r="H173" s="113">
        <v>76.7</v>
      </c>
    </row>
    <row r="174" spans="1:8" ht="36.75" thickBot="1" x14ac:dyDescent="0.3">
      <c r="A174" s="111" t="s">
        <v>1125</v>
      </c>
      <c r="B174" s="112">
        <v>350000000</v>
      </c>
      <c r="C174" s="111" t="s">
        <v>19</v>
      </c>
      <c r="D174" s="111" t="s">
        <v>19</v>
      </c>
      <c r="E174" s="112">
        <v>350000000</v>
      </c>
      <c r="F174" s="112">
        <f t="shared" si="10"/>
        <v>0</v>
      </c>
      <c r="G174" s="112">
        <f>87500000+157500000+105000000</f>
        <v>350000000</v>
      </c>
      <c r="H174" s="113">
        <v>100</v>
      </c>
    </row>
    <row r="175" spans="1:8" ht="36.75" thickBot="1" x14ac:dyDescent="0.3">
      <c r="A175" s="111" t="s">
        <v>1126</v>
      </c>
      <c r="B175" s="112">
        <v>350000000</v>
      </c>
      <c r="C175" s="111" t="s">
        <v>19</v>
      </c>
      <c r="D175" s="111" t="s">
        <v>19</v>
      </c>
      <c r="E175" s="112">
        <v>350000000</v>
      </c>
      <c r="F175" s="112">
        <f t="shared" si="10"/>
        <v>0</v>
      </c>
      <c r="G175" s="112">
        <f>87500000+157500000+105000000</f>
        <v>350000000</v>
      </c>
      <c r="H175" s="113">
        <v>100</v>
      </c>
    </row>
    <row r="176" spans="1:8" ht="36.75" thickBot="1" x14ac:dyDescent="0.3">
      <c r="A176" s="111" t="s">
        <v>1127</v>
      </c>
      <c r="B176" s="112">
        <v>350000000</v>
      </c>
      <c r="C176" s="111" t="s">
        <v>19</v>
      </c>
      <c r="D176" s="111" t="s">
        <v>19</v>
      </c>
      <c r="E176" s="112">
        <v>350000000</v>
      </c>
      <c r="F176" s="112">
        <f t="shared" si="10"/>
        <v>0</v>
      </c>
      <c r="G176" s="112">
        <f>87500000+157500000+105000000</f>
        <v>350000000</v>
      </c>
      <c r="H176" s="113">
        <v>100</v>
      </c>
    </row>
    <row r="177" spans="1:9" ht="36.75" thickBot="1" x14ac:dyDescent="0.3">
      <c r="A177" s="111" t="s">
        <v>1128</v>
      </c>
      <c r="B177" s="112">
        <v>350000000</v>
      </c>
      <c r="C177" s="111" t="s">
        <v>19</v>
      </c>
      <c r="D177" s="111" t="s">
        <v>19</v>
      </c>
      <c r="E177" s="112">
        <v>350000000</v>
      </c>
      <c r="F177" s="112">
        <f t="shared" si="10"/>
        <v>0</v>
      </c>
      <c r="G177" s="112">
        <f>87500000+157500000+105000000</f>
        <v>350000000</v>
      </c>
      <c r="H177" s="113">
        <v>100</v>
      </c>
    </row>
    <row r="178" spans="1:9" ht="48.75" thickBot="1" x14ac:dyDescent="0.3">
      <c r="A178" s="111" t="s">
        <v>1129</v>
      </c>
      <c r="B178" s="112">
        <v>200000000</v>
      </c>
      <c r="C178" s="111" t="s">
        <v>19</v>
      </c>
      <c r="D178" s="111" t="s">
        <v>19</v>
      </c>
      <c r="E178" s="112">
        <v>200000000</v>
      </c>
      <c r="F178" s="112">
        <f t="shared" si="10"/>
        <v>0</v>
      </c>
      <c r="G178" s="112">
        <f>50000000+90000000+60000000</f>
        <v>200000000</v>
      </c>
      <c r="H178" s="113">
        <v>100</v>
      </c>
    </row>
    <row r="179" spans="1:9" ht="12.75" thickBot="1" x14ac:dyDescent="0.3">
      <c r="A179" s="111" t="s">
        <v>96</v>
      </c>
      <c r="B179" s="112">
        <v>168789000</v>
      </c>
      <c r="C179" s="111" t="s">
        <v>19</v>
      </c>
      <c r="D179" s="111" t="s">
        <v>19</v>
      </c>
      <c r="E179" s="112">
        <v>0</v>
      </c>
      <c r="F179" s="112">
        <f t="shared" si="10"/>
        <v>37406875</v>
      </c>
      <c r="G179" s="112">
        <f>19240500+19759500+2875000+27975000+41392125+20140000</f>
        <v>131382125</v>
      </c>
      <c r="H179" s="113">
        <f>G179/B179*100</f>
        <v>77.83808482780276</v>
      </c>
    </row>
    <row r="180" spans="1:9" ht="24.75" thickBot="1" x14ac:dyDescent="0.3">
      <c r="A180" s="97" t="s">
        <v>284</v>
      </c>
      <c r="B180" s="98">
        <f>SUM(B181)</f>
        <v>15440976000</v>
      </c>
      <c r="C180" s="98"/>
      <c r="D180" s="98"/>
      <c r="E180" s="99">
        <f>SUM(E181)</f>
        <v>0</v>
      </c>
      <c r="F180" s="98">
        <f t="shared" si="10"/>
        <v>184505800</v>
      </c>
      <c r="G180" s="98">
        <f>SUM(G181)</f>
        <v>15256470200</v>
      </c>
      <c r="H180" s="100">
        <f>H181</f>
        <v>99.701155577514271</v>
      </c>
    </row>
    <row r="181" spans="1:9" ht="36.75" thickBot="1" x14ac:dyDescent="0.3">
      <c r="A181" s="101" t="s">
        <v>286</v>
      </c>
      <c r="B181" s="102">
        <f>SUM(B182)</f>
        <v>15440976000</v>
      </c>
      <c r="C181" s="103"/>
      <c r="D181" s="103"/>
      <c r="E181" s="104"/>
      <c r="F181" s="102">
        <f t="shared" si="10"/>
        <v>184505800</v>
      </c>
      <c r="G181" s="102">
        <f>SUM(G182)</f>
        <v>15256470200</v>
      </c>
      <c r="H181" s="125">
        <f>H182</f>
        <v>99.701155577514271</v>
      </c>
    </row>
    <row r="182" spans="1:9" ht="24.75" thickBot="1" x14ac:dyDescent="0.3">
      <c r="A182" s="106" t="s">
        <v>1130</v>
      </c>
      <c r="B182" s="107">
        <f>SUM(B183:B274)</f>
        <v>15440976000</v>
      </c>
      <c r="C182" s="108"/>
      <c r="D182" s="108"/>
      <c r="E182" s="109"/>
      <c r="F182" s="107">
        <f t="shared" si="10"/>
        <v>184505800</v>
      </c>
      <c r="G182" s="109">
        <f>SUM(G183:G274)</f>
        <v>15256470200</v>
      </c>
      <c r="H182" s="114">
        <f>AVERAGE(H183:H274)</f>
        <v>99.701155577514271</v>
      </c>
      <c r="I182" s="81">
        <f>3006206250-G182</f>
        <v>-12250263950</v>
      </c>
    </row>
    <row r="183" spans="1:9" ht="12.75" thickBot="1" x14ac:dyDescent="0.3">
      <c r="A183" s="111" t="s">
        <v>1131</v>
      </c>
      <c r="B183" s="112">
        <v>184500000</v>
      </c>
      <c r="C183" s="111" t="s">
        <v>49</v>
      </c>
      <c r="D183" s="111" t="s">
        <v>89</v>
      </c>
      <c r="E183" s="112">
        <v>184455000</v>
      </c>
      <c r="F183" s="112">
        <f t="shared" si="10"/>
        <v>45000</v>
      </c>
      <c r="G183" s="112">
        <v>184455000</v>
      </c>
      <c r="H183" s="113">
        <v>100</v>
      </c>
    </row>
    <row r="184" spans="1:9" ht="12.75" thickBot="1" x14ac:dyDescent="0.3">
      <c r="A184" s="111" t="s">
        <v>1132</v>
      </c>
      <c r="B184" s="112">
        <v>184500000</v>
      </c>
      <c r="C184" s="111" t="s">
        <v>49</v>
      </c>
      <c r="D184" s="111" t="s">
        <v>89</v>
      </c>
      <c r="E184" s="112">
        <v>184309000</v>
      </c>
      <c r="F184" s="112">
        <f t="shared" si="10"/>
        <v>191000</v>
      </c>
      <c r="G184" s="112">
        <v>184309000</v>
      </c>
      <c r="H184" s="113">
        <v>100</v>
      </c>
    </row>
    <row r="185" spans="1:9" ht="12.75" thickBot="1" x14ac:dyDescent="0.3">
      <c r="A185" s="111" t="s">
        <v>1133</v>
      </c>
      <c r="B185" s="112">
        <v>187500000</v>
      </c>
      <c r="C185" s="111" t="s">
        <v>49</v>
      </c>
      <c r="D185" s="111" t="s">
        <v>89</v>
      </c>
      <c r="E185" s="112">
        <v>187487000</v>
      </c>
      <c r="F185" s="112">
        <f t="shared" si="10"/>
        <v>13000</v>
      </c>
      <c r="G185" s="112">
        <v>187487000</v>
      </c>
      <c r="H185" s="113">
        <v>100</v>
      </c>
    </row>
    <row r="186" spans="1:9" ht="24.75" thickBot="1" x14ac:dyDescent="0.3">
      <c r="A186" s="111" t="s">
        <v>1134</v>
      </c>
      <c r="B186" s="112">
        <v>107500000</v>
      </c>
      <c r="C186" s="111" t="s">
        <v>49</v>
      </c>
      <c r="D186" s="111" t="s">
        <v>89</v>
      </c>
      <c r="E186" s="112">
        <v>107441000</v>
      </c>
      <c r="F186" s="112">
        <f t="shared" si="10"/>
        <v>59000</v>
      </c>
      <c r="G186" s="112">
        <v>107441000</v>
      </c>
      <c r="H186" s="113">
        <v>100</v>
      </c>
    </row>
    <row r="187" spans="1:9" ht="24.75" thickBot="1" x14ac:dyDescent="0.3">
      <c r="A187" s="111" t="s">
        <v>1135</v>
      </c>
      <c r="B187" s="112">
        <v>188000000</v>
      </c>
      <c r="C187" s="111" t="s">
        <v>49</v>
      </c>
      <c r="D187" s="111" t="s">
        <v>89</v>
      </c>
      <c r="E187" s="112">
        <v>187888000</v>
      </c>
      <c r="F187" s="112">
        <f t="shared" si="10"/>
        <v>112000</v>
      </c>
      <c r="G187" s="112">
        <v>187888000</v>
      </c>
      <c r="H187" s="113">
        <v>100</v>
      </c>
    </row>
    <row r="188" spans="1:9" ht="24.75" thickBot="1" x14ac:dyDescent="0.3">
      <c r="A188" s="111" t="s">
        <v>1136</v>
      </c>
      <c r="B188" s="112">
        <v>188000000</v>
      </c>
      <c r="C188" s="111" t="s">
        <v>49</v>
      </c>
      <c r="D188" s="111" t="s">
        <v>89</v>
      </c>
      <c r="E188" s="112">
        <v>187580000</v>
      </c>
      <c r="F188" s="112">
        <f t="shared" si="10"/>
        <v>420000</v>
      </c>
      <c r="G188" s="112">
        <v>187580000</v>
      </c>
      <c r="H188" s="113">
        <v>100</v>
      </c>
    </row>
    <row r="189" spans="1:9" ht="24.75" thickBot="1" x14ac:dyDescent="0.3">
      <c r="A189" s="111" t="s">
        <v>1137</v>
      </c>
      <c r="B189" s="112">
        <v>184500000</v>
      </c>
      <c r="C189" s="111" t="s">
        <v>49</v>
      </c>
      <c r="D189" s="111" t="s">
        <v>89</v>
      </c>
      <c r="E189" s="112">
        <v>184063000</v>
      </c>
      <c r="F189" s="112">
        <f t="shared" si="10"/>
        <v>437000</v>
      </c>
      <c r="G189" s="112">
        <v>184063000</v>
      </c>
      <c r="H189" s="113">
        <v>100</v>
      </c>
    </row>
    <row r="190" spans="1:9" ht="24.75" thickBot="1" x14ac:dyDescent="0.3">
      <c r="A190" s="111" t="s">
        <v>1138</v>
      </c>
      <c r="B190" s="112">
        <v>187000000</v>
      </c>
      <c r="C190" s="111" t="s">
        <v>49</v>
      </c>
      <c r="D190" s="111" t="s">
        <v>89</v>
      </c>
      <c r="E190" s="112">
        <v>186926000</v>
      </c>
      <c r="F190" s="112">
        <f t="shared" si="10"/>
        <v>74000</v>
      </c>
      <c r="G190" s="112">
        <v>186926000</v>
      </c>
      <c r="H190" s="113">
        <v>100</v>
      </c>
    </row>
    <row r="191" spans="1:9" ht="24.75" thickBot="1" x14ac:dyDescent="0.3">
      <c r="A191" s="111" t="s">
        <v>1139</v>
      </c>
      <c r="B191" s="112">
        <v>187500000</v>
      </c>
      <c r="C191" s="111" t="s">
        <v>49</v>
      </c>
      <c r="D191" s="111" t="s">
        <v>89</v>
      </c>
      <c r="E191" s="112">
        <v>187202000</v>
      </c>
      <c r="F191" s="112">
        <f t="shared" si="10"/>
        <v>298000</v>
      </c>
      <c r="G191" s="112">
        <v>187202000</v>
      </c>
      <c r="H191" s="113">
        <v>100</v>
      </c>
    </row>
    <row r="192" spans="1:9" ht="24.75" thickBot="1" x14ac:dyDescent="0.3">
      <c r="A192" s="111" t="s">
        <v>1140</v>
      </c>
      <c r="B192" s="112">
        <v>188500000</v>
      </c>
      <c r="C192" s="111" t="s">
        <v>49</v>
      </c>
      <c r="D192" s="111" t="s">
        <v>89</v>
      </c>
      <c r="E192" s="112">
        <v>188151000</v>
      </c>
      <c r="F192" s="112">
        <f t="shared" si="10"/>
        <v>349000</v>
      </c>
      <c r="G192" s="112">
        <v>188151000</v>
      </c>
      <c r="H192" s="113">
        <v>100</v>
      </c>
    </row>
    <row r="193" spans="1:8" ht="12.75" thickBot="1" x14ac:dyDescent="0.3">
      <c r="A193" s="111" t="s">
        <v>1141</v>
      </c>
      <c r="B193" s="112">
        <v>187500000</v>
      </c>
      <c r="C193" s="111" t="s">
        <v>49</v>
      </c>
      <c r="D193" s="111" t="s">
        <v>89</v>
      </c>
      <c r="E193" s="112">
        <v>187175000</v>
      </c>
      <c r="F193" s="112">
        <f t="shared" si="10"/>
        <v>325000</v>
      </c>
      <c r="G193" s="112">
        <v>187175000</v>
      </c>
      <c r="H193" s="113">
        <v>100</v>
      </c>
    </row>
    <row r="194" spans="1:8" ht="24.75" thickBot="1" x14ac:dyDescent="0.3">
      <c r="A194" s="111" t="s">
        <v>1142</v>
      </c>
      <c r="B194" s="112">
        <v>188000000</v>
      </c>
      <c r="C194" s="111" t="s">
        <v>49</v>
      </c>
      <c r="D194" s="111" t="s">
        <v>89</v>
      </c>
      <c r="E194" s="112">
        <v>188000000</v>
      </c>
      <c r="F194" s="112">
        <f t="shared" si="10"/>
        <v>0</v>
      </c>
      <c r="G194" s="112">
        <v>188000000</v>
      </c>
      <c r="H194" s="113">
        <v>100</v>
      </c>
    </row>
    <row r="195" spans="1:8" ht="24.75" thickBot="1" x14ac:dyDescent="0.3">
      <c r="A195" s="111" t="s">
        <v>1143</v>
      </c>
      <c r="B195" s="112">
        <v>193000000</v>
      </c>
      <c r="C195" s="111" t="s">
        <v>49</v>
      </c>
      <c r="D195" s="111" t="s">
        <v>89</v>
      </c>
      <c r="E195" s="112">
        <v>190269000</v>
      </c>
      <c r="F195" s="112">
        <f t="shared" si="10"/>
        <v>2731000</v>
      </c>
      <c r="G195" s="112">
        <v>190269000</v>
      </c>
      <c r="H195" s="113">
        <v>100</v>
      </c>
    </row>
    <row r="196" spans="1:8" ht="24.75" thickBot="1" x14ac:dyDescent="0.3">
      <c r="A196" s="111" t="s">
        <v>1144</v>
      </c>
      <c r="B196" s="112">
        <v>193000000</v>
      </c>
      <c r="C196" s="111" t="s">
        <v>49</v>
      </c>
      <c r="D196" s="111" t="s">
        <v>89</v>
      </c>
      <c r="E196" s="112">
        <v>190033000</v>
      </c>
      <c r="F196" s="112">
        <f t="shared" si="10"/>
        <v>2967000</v>
      </c>
      <c r="G196" s="112">
        <v>190033000</v>
      </c>
      <c r="H196" s="113">
        <v>100</v>
      </c>
    </row>
    <row r="197" spans="1:8" ht="12.75" thickBot="1" x14ac:dyDescent="0.3">
      <c r="A197" s="111" t="s">
        <v>1145</v>
      </c>
      <c r="B197" s="112">
        <v>122000000</v>
      </c>
      <c r="C197" s="111" t="s">
        <v>49</v>
      </c>
      <c r="D197" s="111" t="s">
        <v>89</v>
      </c>
      <c r="E197" s="112">
        <v>121500000</v>
      </c>
      <c r="F197" s="112">
        <f t="shared" si="10"/>
        <v>500000</v>
      </c>
      <c r="G197" s="112">
        <v>121500000</v>
      </c>
      <c r="H197" s="113">
        <v>100</v>
      </c>
    </row>
    <row r="198" spans="1:8" ht="24.75" thickBot="1" x14ac:dyDescent="0.3">
      <c r="A198" s="111" t="s">
        <v>1146</v>
      </c>
      <c r="B198" s="112">
        <v>79100000</v>
      </c>
      <c r="C198" s="111" t="s">
        <v>49</v>
      </c>
      <c r="D198" s="111" t="s">
        <v>89</v>
      </c>
      <c r="E198" s="112">
        <v>78353000</v>
      </c>
      <c r="F198" s="112">
        <f t="shared" si="10"/>
        <v>747000</v>
      </c>
      <c r="G198" s="112">
        <v>78353000</v>
      </c>
      <c r="H198" s="113">
        <v>100</v>
      </c>
    </row>
    <row r="199" spans="1:8" ht="24.75" thickBot="1" x14ac:dyDescent="0.3">
      <c r="A199" s="111" t="s">
        <v>1147</v>
      </c>
      <c r="B199" s="112">
        <v>30500000</v>
      </c>
      <c r="C199" s="111" t="s">
        <v>49</v>
      </c>
      <c r="D199" s="111" t="s">
        <v>89</v>
      </c>
      <c r="E199" s="112">
        <v>29925000</v>
      </c>
      <c r="F199" s="112">
        <f t="shared" si="10"/>
        <v>575000</v>
      </c>
      <c r="G199" s="112">
        <v>29925000</v>
      </c>
      <c r="H199" s="113">
        <v>100</v>
      </c>
    </row>
    <row r="200" spans="1:8" ht="24.75" thickBot="1" x14ac:dyDescent="0.3">
      <c r="A200" s="111" t="s">
        <v>1148</v>
      </c>
      <c r="B200" s="112">
        <v>189000000</v>
      </c>
      <c r="C200" s="111" t="s">
        <v>49</v>
      </c>
      <c r="D200" s="111" t="s">
        <v>89</v>
      </c>
      <c r="E200" s="112">
        <v>188500000</v>
      </c>
      <c r="F200" s="112">
        <f t="shared" si="10"/>
        <v>500000</v>
      </c>
      <c r="G200" s="112">
        <v>188500000</v>
      </c>
      <c r="H200" s="113">
        <v>100</v>
      </c>
    </row>
    <row r="201" spans="1:8" ht="12.75" thickBot="1" x14ac:dyDescent="0.3">
      <c r="A201" s="111" t="s">
        <v>1149</v>
      </c>
      <c r="B201" s="112">
        <v>190500000</v>
      </c>
      <c r="C201" s="111" t="s">
        <v>49</v>
      </c>
      <c r="D201" s="111" t="s">
        <v>89</v>
      </c>
      <c r="E201" s="112">
        <v>190003000</v>
      </c>
      <c r="F201" s="112">
        <f t="shared" si="10"/>
        <v>497000</v>
      </c>
      <c r="G201" s="112">
        <v>190003000</v>
      </c>
      <c r="H201" s="113">
        <v>100</v>
      </c>
    </row>
    <row r="202" spans="1:8" ht="24.75" thickBot="1" x14ac:dyDescent="0.3">
      <c r="A202" s="111" t="s">
        <v>1150</v>
      </c>
      <c r="B202" s="112">
        <v>189000000</v>
      </c>
      <c r="C202" s="111" t="s">
        <v>49</v>
      </c>
      <c r="D202" s="111" t="s">
        <v>89</v>
      </c>
      <c r="E202" s="112">
        <v>189000000</v>
      </c>
      <c r="F202" s="112">
        <f t="shared" si="10"/>
        <v>0</v>
      </c>
      <c r="G202" s="112">
        <v>189000000</v>
      </c>
      <c r="H202" s="113">
        <v>100</v>
      </c>
    </row>
    <row r="203" spans="1:8" ht="24.75" thickBot="1" x14ac:dyDescent="0.3">
      <c r="A203" s="111" t="s">
        <v>1151</v>
      </c>
      <c r="B203" s="112">
        <v>190000000</v>
      </c>
      <c r="C203" s="111" t="s">
        <v>49</v>
      </c>
      <c r="D203" s="111" t="s">
        <v>89</v>
      </c>
      <c r="E203" s="112">
        <v>189683000</v>
      </c>
      <c r="F203" s="112">
        <f t="shared" si="10"/>
        <v>317000</v>
      </c>
      <c r="G203" s="112">
        <v>189683000</v>
      </c>
      <c r="H203" s="113">
        <v>100</v>
      </c>
    </row>
    <row r="204" spans="1:8" ht="24.75" thickBot="1" x14ac:dyDescent="0.3">
      <c r="A204" s="111" t="s">
        <v>1152</v>
      </c>
      <c r="B204" s="112">
        <v>187000000</v>
      </c>
      <c r="C204" s="111" t="s">
        <v>49</v>
      </c>
      <c r="D204" s="111" t="s">
        <v>89</v>
      </c>
      <c r="E204" s="112">
        <v>186800000</v>
      </c>
      <c r="F204" s="112">
        <f t="shared" si="10"/>
        <v>200000</v>
      </c>
      <c r="G204" s="112">
        <v>186800000</v>
      </c>
      <c r="H204" s="113">
        <v>100</v>
      </c>
    </row>
    <row r="205" spans="1:8" ht="24.75" thickBot="1" x14ac:dyDescent="0.3">
      <c r="A205" s="111" t="s">
        <v>1153</v>
      </c>
      <c r="B205" s="112">
        <v>190000000</v>
      </c>
      <c r="C205" s="111" t="s">
        <v>49</v>
      </c>
      <c r="D205" s="111" t="s">
        <v>89</v>
      </c>
      <c r="E205" s="112">
        <v>189663000</v>
      </c>
      <c r="F205" s="112">
        <f t="shared" si="10"/>
        <v>337000</v>
      </c>
      <c r="G205" s="112">
        <v>189663000</v>
      </c>
      <c r="H205" s="113">
        <v>100</v>
      </c>
    </row>
    <row r="206" spans="1:8" ht="24.75" thickBot="1" x14ac:dyDescent="0.3">
      <c r="A206" s="111" t="s">
        <v>1154</v>
      </c>
      <c r="B206" s="112">
        <v>188000000</v>
      </c>
      <c r="C206" s="111" t="s">
        <v>49</v>
      </c>
      <c r="D206" s="111" t="s">
        <v>89</v>
      </c>
      <c r="E206" s="112">
        <v>187700000</v>
      </c>
      <c r="F206" s="112">
        <f t="shared" si="10"/>
        <v>300000</v>
      </c>
      <c r="G206" s="112">
        <v>187700000</v>
      </c>
      <c r="H206" s="113">
        <v>100</v>
      </c>
    </row>
    <row r="207" spans="1:8" ht="24.75" thickBot="1" x14ac:dyDescent="0.3">
      <c r="A207" s="111" t="s">
        <v>1155</v>
      </c>
      <c r="B207" s="112">
        <v>189000000</v>
      </c>
      <c r="C207" s="111" t="s">
        <v>49</v>
      </c>
      <c r="D207" s="111" t="s">
        <v>89</v>
      </c>
      <c r="E207" s="112">
        <v>188500000</v>
      </c>
      <c r="F207" s="112">
        <f t="shared" si="10"/>
        <v>500000</v>
      </c>
      <c r="G207" s="112">
        <v>188500000</v>
      </c>
      <c r="H207" s="113">
        <v>100</v>
      </c>
    </row>
    <row r="208" spans="1:8" ht="24.75" thickBot="1" x14ac:dyDescent="0.3">
      <c r="A208" s="111" t="s">
        <v>1156</v>
      </c>
      <c r="B208" s="112">
        <v>140000000</v>
      </c>
      <c r="C208" s="111" t="s">
        <v>49</v>
      </c>
      <c r="D208" s="111" t="s">
        <v>89</v>
      </c>
      <c r="E208" s="112">
        <v>140000000</v>
      </c>
      <c r="F208" s="112">
        <f t="shared" si="10"/>
        <v>0</v>
      </c>
      <c r="G208" s="112">
        <v>140000000</v>
      </c>
      <c r="H208" s="113">
        <v>100</v>
      </c>
    </row>
    <row r="209" spans="1:8" ht="24.75" thickBot="1" x14ac:dyDescent="0.3">
      <c r="A209" s="111" t="s">
        <v>1157</v>
      </c>
      <c r="B209" s="112">
        <v>140000000</v>
      </c>
      <c r="C209" s="111" t="s">
        <v>49</v>
      </c>
      <c r="D209" s="111" t="s">
        <v>89</v>
      </c>
      <c r="E209" s="112">
        <v>140000000</v>
      </c>
      <c r="F209" s="112">
        <f t="shared" si="10"/>
        <v>0</v>
      </c>
      <c r="G209" s="112">
        <v>140000000</v>
      </c>
      <c r="H209" s="113">
        <v>100</v>
      </c>
    </row>
    <row r="210" spans="1:8" ht="24.75" thickBot="1" x14ac:dyDescent="0.3">
      <c r="A210" s="111" t="s">
        <v>1158</v>
      </c>
      <c r="B210" s="112">
        <v>190200000</v>
      </c>
      <c r="C210" s="111" t="s">
        <v>49</v>
      </c>
      <c r="D210" s="111" t="s">
        <v>89</v>
      </c>
      <c r="E210" s="112">
        <v>190073000</v>
      </c>
      <c r="F210" s="112">
        <f t="shared" si="10"/>
        <v>127000</v>
      </c>
      <c r="G210" s="112">
        <v>190073000</v>
      </c>
      <c r="H210" s="113">
        <v>100</v>
      </c>
    </row>
    <row r="211" spans="1:8" ht="24.75" thickBot="1" x14ac:dyDescent="0.3">
      <c r="A211" s="111" t="s">
        <v>1159</v>
      </c>
      <c r="B211" s="112">
        <v>190000000</v>
      </c>
      <c r="C211" s="111" t="s">
        <v>49</v>
      </c>
      <c r="D211" s="111" t="s">
        <v>89</v>
      </c>
      <c r="E211" s="112">
        <v>189735000</v>
      </c>
      <c r="F211" s="112">
        <f t="shared" si="10"/>
        <v>265000</v>
      </c>
      <c r="G211" s="112">
        <v>189735000</v>
      </c>
      <c r="H211" s="113">
        <v>100</v>
      </c>
    </row>
    <row r="212" spans="1:8" ht="24.75" thickBot="1" x14ac:dyDescent="0.3">
      <c r="A212" s="111" t="s">
        <v>1160</v>
      </c>
      <c r="B212" s="112">
        <v>189000000</v>
      </c>
      <c r="C212" s="111" t="s">
        <v>49</v>
      </c>
      <c r="D212" s="111" t="s">
        <v>89</v>
      </c>
      <c r="E212" s="112">
        <v>188974000</v>
      </c>
      <c r="F212" s="112">
        <f t="shared" si="10"/>
        <v>26000</v>
      </c>
      <c r="G212" s="112">
        <v>188974000</v>
      </c>
      <c r="H212" s="113">
        <v>100</v>
      </c>
    </row>
    <row r="213" spans="1:8" ht="24.75" thickBot="1" x14ac:dyDescent="0.3">
      <c r="A213" s="111" t="s">
        <v>1161</v>
      </c>
      <c r="B213" s="112">
        <v>189300000</v>
      </c>
      <c r="C213" s="111" t="s">
        <v>49</v>
      </c>
      <c r="D213" s="111" t="s">
        <v>89</v>
      </c>
      <c r="E213" s="112">
        <v>189193000</v>
      </c>
      <c r="F213" s="112">
        <f t="shared" si="10"/>
        <v>107000</v>
      </c>
      <c r="G213" s="112">
        <v>189193000</v>
      </c>
      <c r="H213" s="113">
        <v>100</v>
      </c>
    </row>
    <row r="214" spans="1:8" ht="24.75" thickBot="1" x14ac:dyDescent="0.3">
      <c r="A214" s="111" t="s">
        <v>1162</v>
      </c>
      <c r="B214" s="112">
        <v>189500000</v>
      </c>
      <c r="C214" s="111" t="s">
        <v>49</v>
      </c>
      <c r="D214" s="111" t="s">
        <v>89</v>
      </c>
      <c r="E214" s="112">
        <v>189439000</v>
      </c>
      <c r="F214" s="112">
        <f t="shared" si="10"/>
        <v>61000</v>
      </c>
      <c r="G214" s="112">
        <v>189439000</v>
      </c>
      <c r="H214" s="113">
        <v>100</v>
      </c>
    </row>
    <row r="215" spans="1:8" ht="24.75" thickBot="1" x14ac:dyDescent="0.3">
      <c r="A215" s="111" t="s">
        <v>1163</v>
      </c>
      <c r="B215" s="112">
        <v>189300000</v>
      </c>
      <c r="C215" s="111" t="s">
        <v>49</v>
      </c>
      <c r="D215" s="111" t="s">
        <v>89</v>
      </c>
      <c r="E215" s="112">
        <v>189267000</v>
      </c>
      <c r="F215" s="112">
        <f t="shared" si="10"/>
        <v>33000</v>
      </c>
      <c r="G215" s="112">
        <v>189267000</v>
      </c>
      <c r="H215" s="113">
        <v>100</v>
      </c>
    </row>
    <row r="216" spans="1:8" ht="24.75" thickBot="1" x14ac:dyDescent="0.3">
      <c r="A216" s="111" t="s">
        <v>1164</v>
      </c>
      <c r="B216" s="112">
        <v>188000000</v>
      </c>
      <c r="C216" s="111" t="s">
        <v>49</v>
      </c>
      <c r="D216" s="111" t="s">
        <v>89</v>
      </c>
      <c r="E216" s="112">
        <v>187700000</v>
      </c>
      <c r="F216" s="112">
        <f t="shared" si="10"/>
        <v>300000</v>
      </c>
      <c r="G216" s="112">
        <v>187700000</v>
      </c>
      <c r="H216" s="113">
        <v>100</v>
      </c>
    </row>
    <row r="217" spans="1:8" ht="24.75" thickBot="1" x14ac:dyDescent="0.3">
      <c r="A217" s="111" t="s">
        <v>1165</v>
      </c>
      <c r="B217" s="112">
        <v>188000000</v>
      </c>
      <c r="C217" s="111" t="s">
        <v>49</v>
      </c>
      <c r="D217" s="111" t="s">
        <v>89</v>
      </c>
      <c r="E217" s="112">
        <v>188000000</v>
      </c>
      <c r="F217" s="112">
        <f t="shared" si="10"/>
        <v>0</v>
      </c>
      <c r="G217" s="112">
        <v>188000000</v>
      </c>
      <c r="H217" s="113">
        <v>100</v>
      </c>
    </row>
    <row r="218" spans="1:8" ht="24.75" thickBot="1" x14ac:dyDescent="0.3">
      <c r="A218" s="111" t="s">
        <v>1166</v>
      </c>
      <c r="B218" s="112">
        <v>142000000</v>
      </c>
      <c r="C218" s="111" t="s">
        <v>49</v>
      </c>
      <c r="D218" s="111" t="s">
        <v>89</v>
      </c>
      <c r="E218" s="112">
        <v>141500000</v>
      </c>
      <c r="F218" s="112">
        <f t="shared" si="10"/>
        <v>500000</v>
      </c>
      <c r="G218" s="112">
        <v>141500000</v>
      </c>
      <c r="H218" s="113">
        <v>100</v>
      </c>
    </row>
    <row r="219" spans="1:8" ht="24.75" thickBot="1" x14ac:dyDescent="0.3">
      <c r="A219" s="111" t="s">
        <v>1167</v>
      </c>
      <c r="B219" s="112">
        <v>189500000</v>
      </c>
      <c r="C219" s="111" t="s">
        <v>49</v>
      </c>
      <c r="D219" s="111" t="s">
        <v>89</v>
      </c>
      <c r="E219" s="112">
        <v>189314000</v>
      </c>
      <c r="F219" s="112">
        <f t="shared" si="10"/>
        <v>186000</v>
      </c>
      <c r="G219" s="112">
        <v>189314000</v>
      </c>
      <c r="H219" s="113">
        <v>100</v>
      </c>
    </row>
    <row r="220" spans="1:8" ht="24.75" thickBot="1" x14ac:dyDescent="0.3">
      <c r="A220" s="111" t="s">
        <v>1168</v>
      </c>
      <c r="B220" s="112">
        <v>193000000</v>
      </c>
      <c r="C220" s="111" t="s">
        <v>49</v>
      </c>
      <c r="D220" s="111" t="s">
        <v>89</v>
      </c>
      <c r="E220" s="112">
        <v>190289000</v>
      </c>
      <c r="F220" s="112">
        <f t="shared" si="10"/>
        <v>2711000</v>
      </c>
      <c r="G220" s="112">
        <v>190289000</v>
      </c>
      <c r="H220" s="113">
        <v>100</v>
      </c>
    </row>
    <row r="221" spans="1:8" ht="24.75" thickBot="1" x14ac:dyDescent="0.3">
      <c r="A221" s="111" t="s">
        <v>1169</v>
      </c>
      <c r="B221" s="112">
        <v>113100000</v>
      </c>
      <c r="C221" s="111" t="s">
        <v>49</v>
      </c>
      <c r="D221" s="111" t="s">
        <v>89</v>
      </c>
      <c r="E221" s="112">
        <v>113032000</v>
      </c>
      <c r="F221" s="112">
        <f t="shared" si="10"/>
        <v>68000</v>
      </c>
      <c r="G221" s="112">
        <v>113032000</v>
      </c>
      <c r="H221" s="113">
        <v>100</v>
      </c>
    </row>
    <row r="222" spans="1:8" ht="24.75" thickBot="1" x14ac:dyDescent="0.3">
      <c r="A222" s="111" t="s">
        <v>1170</v>
      </c>
      <c r="B222" s="112">
        <v>170500000</v>
      </c>
      <c r="C222" s="111" t="s">
        <v>49</v>
      </c>
      <c r="D222" s="111" t="s">
        <v>89</v>
      </c>
      <c r="E222" s="112">
        <v>170463000</v>
      </c>
      <c r="F222" s="112">
        <f t="shared" si="10"/>
        <v>37000</v>
      </c>
      <c r="G222" s="112">
        <v>170463000</v>
      </c>
      <c r="H222" s="113">
        <v>100</v>
      </c>
    </row>
    <row r="223" spans="1:8" ht="24.75" thickBot="1" x14ac:dyDescent="0.3">
      <c r="A223" s="111" t="s">
        <v>1171</v>
      </c>
      <c r="B223" s="112">
        <v>188000000</v>
      </c>
      <c r="C223" s="111" t="s">
        <v>49</v>
      </c>
      <c r="D223" s="111" t="s">
        <v>89</v>
      </c>
      <c r="E223" s="112">
        <v>187815000</v>
      </c>
      <c r="F223" s="112">
        <f t="shared" si="10"/>
        <v>185000</v>
      </c>
      <c r="G223" s="112">
        <v>187815000</v>
      </c>
      <c r="H223" s="113">
        <v>100</v>
      </c>
    </row>
    <row r="224" spans="1:8" ht="24.75" thickBot="1" x14ac:dyDescent="0.3">
      <c r="A224" s="111" t="s">
        <v>1172</v>
      </c>
      <c r="B224" s="112">
        <v>188300000</v>
      </c>
      <c r="C224" s="111" t="s">
        <v>49</v>
      </c>
      <c r="D224" s="111" t="s">
        <v>89</v>
      </c>
      <c r="E224" s="112">
        <v>188158000</v>
      </c>
      <c r="F224" s="112">
        <f t="shared" si="10"/>
        <v>142000</v>
      </c>
      <c r="G224" s="112">
        <v>188158000</v>
      </c>
      <c r="H224" s="113">
        <v>100</v>
      </c>
    </row>
    <row r="225" spans="1:8" ht="12.75" thickBot="1" x14ac:dyDescent="0.3">
      <c r="A225" s="111" t="s">
        <v>1173</v>
      </c>
      <c r="B225" s="112">
        <v>191000000</v>
      </c>
      <c r="C225" s="111" t="s">
        <v>49</v>
      </c>
      <c r="D225" s="111" t="s">
        <v>89</v>
      </c>
      <c r="E225" s="112">
        <v>190955000</v>
      </c>
      <c r="F225" s="112">
        <f t="shared" si="10"/>
        <v>45000</v>
      </c>
      <c r="G225" s="112">
        <v>190955000</v>
      </c>
      <c r="H225" s="113">
        <v>100</v>
      </c>
    </row>
    <row r="226" spans="1:8" ht="12.75" thickBot="1" x14ac:dyDescent="0.3">
      <c r="A226" s="111" t="s">
        <v>1174</v>
      </c>
      <c r="B226" s="112">
        <v>140100000</v>
      </c>
      <c r="C226" s="111" t="s">
        <v>49</v>
      </c>
      <c r="D226" s="111" t="s">
        <v>89</v>
      </c>
      <c r="E226" s="112">
        <v>140006000</v>
      </c>
      <c r="F226" s="112">
        <f t="shared" si="10"/>
        <v>94000</v>
      </c>
      <c r="G226" s="112">
        <v>140006000</v>
      </c>
      <c r="H226" s="113">
        <v>100</v>
      </c>
    </row>
    <row r="227" spans="1:8" ht="12.75" thickBot="1" x14ac:dyDescent="0.3">
      <c r="A227" s="111" t="s">
        <v>1175</v>
      </c>
      <c r="B227" s="112">
        <v>186000000</v>
      </c>
      <c r="C227" s="111" t="s">
        <v>49</v>
      </c>
      <c r="D227" s="111" t="s">
        <v>89</v>
      </c>
      <c r="E227" s="112">
        <v>185963000</v>
      </c>
      <c r="F227" s="112">
        <f t="shared" si="10"/>
        <v>37000</v>
      </c>
      <c r="G227" s="112">
        <v>185963000</v>
      </c>
      <c r="H227" s="113">
        <v>100</v>
      </c>
    </row>
    <row r="228" spans="1:8" ht="12.75" thickBot="1" x14ac:dyDescent="0.3">
      <c r="A228" s="111" t="s">
        <v>1176</v>
      </c>
      <c r="B228" s="112">
        <v>186000000</v>
      </c>
      <c r="C228" s="111" t="s">
        <v>49</v>
      </c>
      <c r="D228" s="111" t="s">
        <v>89</v>
      </c>
      <c r="E228" s="112">
        <v>185963000</v>
      </c>
      <c r="F228" s="112">
        <f t="shared" si="10"/>
        <v>37000</v>
      </c>
      <c r="G228" s="112">
        <v>185963000</v>
      </c>
      <c r="H228" s="113">
        <v>100</v>
      </c>
    </row>
    <row r="229" spans="1:8" ht="12.75" thickBot="1" x14ac:dyDescent="0.3">
      <c r="A229" s="111" t="s">
        <v>1177</v>
      </c>
      <c r="B229" s="112">
        <v>187500000</v>
      </c>
      <c r="C229" s="111" t="s">
        <v>49</v>
      </c>
      <c r="D229" s="111" t="s">
        <v>89</v>
      </c>
      <c r="E229" s="112">
        <v>187406000</v>
      </c>
      <c r="F229" s="112">
        <f t="shared" si="10"/>
        <v>94000</v>
      </c>
      <c r="G229" s="112">
        <v>187406000</v>
      </c>
      <c r="H229" s="113">
        <v>100</v>
      </c>
    </row>
    <row r="230" spans="1:8" ht="12.75" thickBot="1" x14ac:dyDescent="0.3">
      <c r="A230" s="111" t="s">
        <v>1178</v>
      </c>
      <c r="B230" s="112">
        <v>188500000</v>
      </c>
      <c r="C230" s="111" t="s">
        <v>49</v>
      </c>
      <c r="D230" s="111" t="s">
        <v>89</v>
      </c>
      <c r="E230" s="112">
        <v>188372000</v>
      </c>
      <c r="F230" s="112">
        <f t="shared" si="10"/>
        <v>128000</v>
      </c>
      <c r="G230" s="112">
        <v>188372000</v>
      </c>
      <c r="H230" s="113">
        <v>100</v>
      </c>
    </row>
    <row r="231" spans="1:8" ht="12.75" thickBot="1" x14ac:dyDescent="0.3">
      <c r="A231" s="111" t="s">
        <v>1179</v>
      </c>
      <c r="B231" s="112">
        <v>193000000</v>
      </c>
      <c r="C231" s="111" t="s">
        <v>49</v>
      </c>
      <c r="D231" s="111" t="s">
        <v>89</v>
      </c>
      <c r="E231" s="112">
        <v>188815000</v>
      </c>
      <c r="F231" s="112">
        <f t="shared" si="10"/>
        <v>4185000</v>
      </c>
      <c r="G231" s="112">
        <v>188815000</v>
      </c>
      <c r="H231" s="113">
        <v>100</v>
      </c>
    </row>
    <row r="232" spans="1:8" ht="12.75" thickBot="1" x14ac:dyDescent="0.3">
      <c r="A232" s="111" t="s">
        <v>1180</v>
      </c>
      <c r="B232" s="112">
        <v>189300000</v>
      </c>
      <c r="C232" s="111" t="s">
        <v>49</v>
      </c>
      <c r="D232" s="111" t="s">
        <v>89</v>
      </c>
      <c r="E232" s="112">
        <v>189227000</v>
      </c>
      <c r="F232" s="112">
        <f t="shared" si="10"/>
        <v>73000</v>
      </c>
      <c r="G232" s="112">
        <v>189227000</v>
      </c>
      <c r="H232" s="113">
        <v>100</v>
      </c>
    </row>
    <row r="233" spans="1:8" ht="24.75" thickBot="1" x14ac:dyDescent="0.3">
      <c r="A233" s="111" t="s">
        <v>1181</v>
      </c>
      <c r="B233" s="112">
        <v>143100000</v>
      </c>
      <c r="C233" s="111" t="s">
        <v>49</v>
      </c>
      <c r="D233" s="111" t="s">
        <v>89</v>
      </c>
      <c r="E233" s="112">
        <v>143060000</v>
      </c>
      <c r="F233" s="112">
        <f t="shared" ref="F233:F296" si="11">B233-G233</f>
        <v>40000</v>
      </c>
      <c r="G233" s="112">
        <v>143060000</v>
      </c>
      <c r="H233" s="113">
        <v>100</v>
      </c>
    </row>
    <row r="234" spans="1:8" ht="24.75" thickBot="1" x14ac:dyDescent="0.3">
      <c r="A234" s="111" t="s">
        <v>1182</v>
      </c>
      <c r="B234" s="112">
        <v>140000000</v>
      </c>
      <c r="C234" s="111" t="s">
        <v>49</v>
      </c>
      <c r="D234" s="111" t="s">
        <v>89</v>
      </c>
      <c r="E234" s="112">
        <v>139772000</v>
      </c>
      <c r="F234" s="112">
        <f t="shared" si="11"/>
        <v>228000</v>
      </c>
      <c r="G234" s="112">
        <v>139772000</v>
      </c>
      <c r="H234" s="113">
        <v>100</v>
      </c>
    </row>
    <row r="235" spans="1:8" ht="12.75" thickBot="1" x14ac:dyDescent="0.3">
      <c r="A235" s="111" t="s">
        <v>1183</v>
      </c>
      <c r="B235" s="112">
        <v>188200000</v>
      </c>
      <c r="C235" s="111" t="s">
        <v>49</v>
      </c>
      <c r="D235" s="111" t="s">
        <v>89</v>
      </c>
      <c r="E235" s="112">
        <v>188185000</v>
      </c>
      <c r="F235" s="112">
        <f t="shared" si="11"/>
        <v>15000</v>
      </c>
      <c r="G235" s="112">
        <v>188185000</v>
      </c>
      <c r="H235" s="113">
        <v>100</v>
      </c>
    </row>
    <row r="236" spans="1:8" ht="24.75" thickBot="1" x14ac:dyDescent="0.3">
      <c r="A236" s="111" t="s">
        <v>1184</v>
      </c>
      <c r="B236" s="112">
        <v>138200000</v>
      </c>
      <c r="C236" s="111" t="s">
        <v>49</v>
      </c>
      <c r="D236" s="111" t="s">
        <v>89</v>
      </c>
      <c r="E236" s="112">
        <v>138191000</v>
      </c>
      <c r="F236" s="112">
        <f t="shared" si="11"/>
        <v>9000</v>
      </c>
      <c r="G236" s="112">
        <v>138191000</v>
      </c>
      <c r="H236" s="113">
        <v>100</v>
      </c>
    </row>
    <row r="237" spans="1:8" ht="24.75" thickBot="1" x14ac:dyDescent="0.3">
      <c r="A237" s="111" t="s">
        <v>1185</v>
      </c>
      <c r="B237" s="112">
        <v>188200000</v>
      </c>
      <c r="C237" s="111" t="s">
        <v>49</v>
      </c>
      <c r="D237" s="111" t="s">
        <v>89</v>
      </c>
      <c r="E237" s="112">
        <v>188117000</v>
      </c>
      <c r="F237" s="112">
        <f t="shared" si="11"/>
        <v>83000</v>
      </c>
      <c r="G237" s="112">
        <v>188117000</v>
      </c>
      <c r="H237" s="113">
        <v>100</v>
      </c>
    </row>
    <row r="238" spans="1:8" ht="24.75" thickBot="1" x14ac:dyDescent="0.3">
      <c r="A238" s="111" t="s">
        <v>1186</v>
      </c>
      <c r="B238" s="112">
        <v>188200000</v>
      </c>
      <c r="C238" s="111" t="s">
        <v>49</v>
      </c>
      <c r="D238" s="111" t="s">
        <v>89</v>
      </c>
      <c r="E238" s="112">
        <v>188120000</v>
      </c>
      <c r="F238" s="112">
        <f t="shared" si="11"/>
        <v>80000</v>
      </c>
      <c r="G238" s="112">
        <v>188120000</v>
      </c>
      <c r="H238" s="113">
        <v>100</v>
      </c>
    </row>
    <row r="239" spans="1:8" ht="24.75" thickBot="1" x14ac:dyDescent="0.3">
      <c r="A239" s="111" t="s">
        <v>1187</v>
      </c>
      <c r="B239" s="112">
        <v>186000000</v>
      </c>
      <c r="C239" s="111" t="s">
        <v>49</v>
      </c>
      <c r="D239" s="111" t="s">
        <v>89</v>
      </c>
      <c r="E239" s="112">
        <v>185794000</v>
      </c>
      <c r="F239" s="112">
        <f t="shared" si="11"/>
        <v>206000</v>
      </c>
      <c r="G239" s="112">
        <v>185794000</v>
      </c>
      <c r="H239" s="113">
        <v>100</v>
      </c>
    </row>
    <row r="240" spans="1:8" ht="12.75" thickBot="1" x14ac:dyDescent="0.3">
      <c r="A240" s="111" t="s">
        <v>1188</v>
      </c>
      <c r="B240" s="112">
        <v>188200000</v>
      </c>
      <c r="C240" s="111" t="s">
        <v>49</v>
      </c>
      <c r="D240" s="111" t="s">
        <v>89</v>
      </c>
      <c r="E240" s="112">
        <v>188185000</v>
      </c>
      <c r="F240" s="112">
        <f t="shared" si="11"/>
        <v>15000</v>
      </c>
      <c r="G240" s="112">
        <v>188185000</v>
      </c>
      <c r="H240" s="113">
        <v>100</v>
      </c>
    </row>
    <row r="241" spans="1:8" ht="12.75" thickBot="1" x14ac:dyDescent="0.3">
      <c r="A241" s="111" t="s">
        <v>1189</v>
      </c>
      <c r="B241" s="112">
        <v>188300000</v>
      </c>
      <c r="C241" s="111" t="s">
        <v>49</v>
      </c>
      <c r="D241" s="111" t="s">
        <v>89</v>
      </c>
      <c r="E241" s="112">
        <v>188267000</v>
      </c>
      <c r="F241" s="112">
        <f t="shared" si="11"/>
        <v>33000</v>
      </c>
      <c r="G241" s="112">
        <v>188267000</v>
      </c>
      <c r="H241" s="113">
        <v>100</v>
      </c>
    </row>
    <row r="242" spans="1:8" ht="12.75" thickBot="1" x14ac:dyDescent="0.3">
      <c r="A242" s="111" t="s">
        <v>1190</v>
      </c>
      <c r="B242" s="112">
        <v>188500000</v>
      </c>
      <c r="C242" s="111" t="s">
        <v>49</v>
      </c>
      <c r="D242" s="111" t="s">
        <v>89</v>
      </c>
      <c r="E242" s="112">
        <v>188444000</v>
      </c>
      <c r="F242" s="112">
        <f t="shared" si="11"/>
        <v>56000</v>
      </c>
      <c r="G242" s="112">
        <v>188444000</v>
      </c>
      <c r="H242" s="113">
        <v>100</v>
      </c>
    </row>
    <row r="243" spans="1:8" ht="12.75" thickBot="1" x14ac:dyDescent="0.3">
      <c r="A243" s="111" t="s">
        <v>1191</v>
      </c>
      <c r="B243" s="112">
        <v>191000000</v>
      </c>
      <c r="C243" s="111" t="s">
        <v>49</v>
      </c>
      <c r="D243" s="111" t="s">
        <v>89</v>
      </c>
      <c r="E243" s="112">
        <v>190778000</v>
      </c>
      <c r="F243" s="112">
        <f t="shared" si="11"/>
        <v>222000</v>
      </c>
      <c r="G243" s="112">
        <v>190778000</v>
      </c>
      <c r="H243" s="113">
        <v>100</v>
      </c>
    </row>
    <row r="244" spans="1:8" ht="24.75" thickBot="1" x14ac:dyDescent="0.3">
      <c r="A244" s="111" t="s">
        <v>1192</v>
      </c>
      <c r="B244" s="112">
        <v>189200000</v>
      </c>
      <c r="C244" s="111" t="s">
        <v>49</v>
      </c>
      <c r="D244" s="111" t="s">
        <v>89</v>
      </c>
      <c r="E244" s="112">
        <v>189188000</v>
      </c>
      <c r="F244" s="112">
        <f t="shared" si="11"/>
        <v>12000</v>
      </c>
      <c r="G244" s="112">
        <v>189188000</v>
      </c>
      <c r="H244" s="113">
        <v>100</v>
      </c>
    </row>
    <row r="245" spans="1:8" ht="24.75" thickBot="1" x14ac:dyDescent="0.3">
      <c r="A245" s="111" t="s">
        <v>1193</v>
      </c>
      <c r="B245" s="112">
        <v>54120000</v>
      </c>
      <c r="C245" s="111" t="s">
        <v>49</v>
      </c>
      <c r="D245" s="111" t="s">
        <v>89</v>
      </c>
      <c r="E245" s="112">
        <v>52490000</v>
      </c>
      <c r="F245" s="112">
        <f t="shared" si="11"/>
        <v>1630000</v>
      </c>
      <c r="G245" s="112">
        <v>52490000</v>
      </c>
      <c r="H245" s="113">
        <v>100</v>
      </c>
    </row>
    <row r="246" spans="1:8" ht="24.75" thickBot="1" x14ac:dyDescent="0.3">
      <c r="A246" s="111" t="s">
        <v>1194</v>
      </c>
      <c r="B246" s="112">
        <v>103200000</v>
      </c>
      <c r="C246" s="111" t="s">
        <v>49</v>
      </c>
      <c r="D246" s="111" t="s">
        <v>89</v>
      </c>
      <c r="E246" s="112">
        <v>103192000</v>
      </c>
      <c r="F246" s="112">
        <f t="shared" si="11"/>
        <v>8000</v>
      </c>
      <c r="G246" s="112">
        <v>103192000</v>
      </c>
      <c r="H246" s="113">
        <v>100</v>
      </c>
    </row>
    <row r="247" spans="1:8" ht="24.75" thickBot="1" x14ac:dyDescent="0.3">
      <c r="A247" s="111" t="s">
        <v>1195</v>
      </c>
      <c r="B247" s="112">
        <v>172000000</v>
      </c>
      <c r="C247" s="111" t="s">
        <v>49</v>
      </c>
      <c r="D247" s="111" t="s">
        <v>89</v>
      </c>
      <c r="E247" s="112">
        <v>171681000</v>
      </c>
      <c r="F247" s="112">
        <f t="shared" si="11"/>
        <v>319000</v>
      </c>
      <c r="G247" s="112">
        <v>171681000</v>
      </c>
      <c r="H247" s="113">
        <v>100</v>
      </c>
    </row>
    <row r="248" spans="1:8" ht="24.75" thickBot="1" x14ac:dyDescent="0.3">
      <c r="A248" s="111" t="s">
        <v>1196</v>
      </c>
      <c r="B248" s="112">
        <v>172000000</v>
      </c>
      <c r="C248" s="111" t="s">
        <v>49</v>
      </c>
      <c r="D248" s="111" t="s">
        <v>89</v>
      </c>
      <c r="E248" s="112">
        <v>171701000</v>
      </c>
      <c r="F248" s="112">
        <f t="shared" si="11"/>
        <v>299000</v>
      </c>
      <c r="G248" s="112">
        <v>171701000</v>
      </c>
      <c r="H248" s="113">
        <v>100</v>
      </c>
    </row>
    <row r="249" spans="1:8" ht="24.75" thickBot="1" x14ac:dyDescent="0.3">
      <c r="A249" s="111" t="s">
        <v>1197</v>
      </c>
      <c r="B249" s="112">
        <v>53120000</v>
      </c>
      <c r="C249" s="111" t="s">
        <v>49</v>
      </c>
      <c r="D249" s="111" t="s">
        <v>89</v>
      </c>
      <c r="E249" s="112">
        <v>53064000</v>
      </c>
      <c r="F249" s="112">
        <f t="shared" si="11"/>
        <v>56000</v>
      </c>
      <c r="G249" s="112">
        <v>53064000</v>
      </c>
      <c r="H249" s="113">
        <v>100</v>
      </c>
    </row>
    <row r="250" spans="1:8" ht="24.75" thickBot="1" x14ac:dyDescent="0.3">
      <c r="A250" s="111" t="s">
        <v>1198</v>
      </c>
      <c r="B250" s="112">
        <v>190000000</v>
      </c>
      <c r="C250" s="111" t="s">
        <v>49</v>
      </c>
      <c r="D250" s="111" t="s">
        <v>89</v>
      </c>
      <c r="E250" s="112">
        <v>189518000</v>
      </c>
      <c r="F250" s="112">
        <f t="shared" si="11"/>
        <v>482000</v>
      </c>
      <c r="G250" s="112">
        <v>189518000</v>
      </c>
      <c r="H250" s="113">
        <v>100</v>
      </c>
    </row>
    <row r="251" spans="1:8" ht="24.75" thickBot="1" x14ac:dyDescent="0.3">
      <c r="A251" s="111" t="s">
        <v>1199</v>
      </c>
      <c r="B251" s="112">
        <v>190000000</v>
      </c>
      <c r="C251" s="111" t="s">
        <v>49</v>
      </c>
      <c r="D251" s="111" t="s">
        <v>89</v>
      </c>
      <c r="E251" s="112">
        <v>189981000</v>
      </c>
      <c r="F251" s="112">
        <f t="shared" si="11"/>
        <v>19000</v>
      </c>
      <c r="G251" s="112">
        <v>189981000</v>
      </c>
      <c r="H251" s="113">
        <v>100</v>
      </c>
    </row>
    <row r="252" spans="1:8" ht="12.75" thickBot="1" x14ac:dyDescent="0.3">
      <c r="A252" s="111" t="s">
        <v>1200</v>
      </c>
      <c r="B252" s="112">
        <v>190000000</v>
      </c>
      <c r="C252" s="111" t="s">
        <v>49</v>
      </c>
      <c r="D252" s="111" t="s">
        <v>89</v>
      </c>
      <c r="E252" s="112">
        <v>189947000</v>
      </c>
      <c r="F252" s="112">
        <f t="shared" si="11"/>
        <v>53000</v>
      </c>
      <c r="G252" s="112">
        <v>189947000</v>
      </c>
      <c r="H252" s="113">
        <v>100</v>
      </c>
    </row>
    <row r="253" spans="1:8" ht="12.75" thickBot="1" x14ac:dyDescent="0.3">
      <c r="A253" s="111" t="s">
        <v>1201</v>
      </c>
      <c r="B253" s="112">
        <v>187200000</v>
      </c>
      <c r="C253" s="111" t="s">
        <v>49</v>
      </c>
      <c r="D253" s="111" t="s">
        <v>89</v>
      </c>
      <c r="E253" s="112">
        <v>187137000</v>
      </c>
      <c r="F253" s="112">
        <f t="shared" si="11"/>
        <v>63000</v>
      </c>
      <c r="G253" s="112">
        <v>187137000</v>
      </c>
      <c r="H253" s="113">
        <v>100</v>
      </c>
    </row>
    <row r="254" spans="1:8" ht="24.75" thickBot="1" x14ac:dyDescent="0.3">
      <c r="A254" s="111" t="s">
        <v>1202</v>
      </c>
      <c r="B254" s="112">
        <v>54000000</v>
      </c>
      <c r="C254" s="111" t="s">
        <v>49</v>
      </c>
      <c r="D254" s="111" t="s">
        <v>89</v>
      </c>
      <c r="E254" s="112">
        <v>53601000</v>
      </c>
      <c r="F254" s="112">
        <f t="shared" si="11"/>
        <v>399000</v>
      </c>
      <c r="G254" s="112">
        <v>53601000</v>
      </c>
      <c r="H254" s="113">
        <v>100</v>
      </c>
    </row>
    <row r="255" spans="1:8" ht="24.75" thickBot="1" x14ac:dyDescent="0.3">
      <c r="A255" s="111" t="s">
        <v>1203</v>
      </c>
      <c r="B255" s="112">
        <v>171200000</v>
      </c>
      <c r="C255" s="111" t="s">
        <v>49</v>
      </c>
      <c r="D255" s="111" t="s">
        <v>89</v>
      </c>
      <c r="E255" s="112">
        <v>171029000</v>
      </c>
      <c r="F255" s="112">
        <f t="shared" si="11"/>
        <v>171000</v>
      </c>
      <c r="G255" s="112">
        <v>171029000</v>
      </c>
      <c r="H255" s="113">
        <v>100</v>
      </c>
    </row>
    <row r="256" spans="1:8" ht="24.75" thickBot="1" x14ac:dyDescent="0.3">
      <c r="A256" s="111" t="s">
        <v>1204</v>
      </c>
      <c r="B256" s="112">
        <v>195000000</v>
      </c>
      <c r="C256" s="111" t="s">
        <v>49</v>
      </c>
      <c r="D256" s="111" t="s">
        <v>89</v>
      </c>
      <c r="E256" s="112">
        <v>194795000</v>
      </c>
      <c r="F256" s="112">
        <f t="shared" si="11"/>
        <v>205000</v>
      </c>
      <c r="G256" s="112">
        <v>194795000</v>
      </c>
      <c r="H256" s="113">
        <v>100</v>
      </c>
    </row>
    <row r="257" spans="1:8" ht="24.75" thickBot="1" x14ac:dyDescent="0.3">
      <c r="A257" s="111" t="s">
        <v>1205</v>
      </c>
      <c r="B257" s="112">
        <v>353000000</v>
      </c>
      <c r="C257" s="111" t="s">
        <v>49</v>
      </c>
      <c r="D257" s="111" t="s">
        <v>89</v>
      </c>
      <c r="E257" s="112">
        <v>352079200</v>
      </c>
      <c r="F257" s="112">
        <f t="shared" si="11"/>
        <v>920800</v>
      </c>
      <c r="G257" s="112">
        <v>352079200</v>
      </c>
      <c r="H257" s="113">
        <v>100</v>
      </c>
    </row>
    <row r="258" spans="1:8" ht="24.75" thickBot="1" x14ac:dyDescent="0.3">
      <c r="A258" s="111" t="s">
        <v>1206</v>
      </c>
      <c r="B258" s="112">
        <v>15000000</v>
      </c>
      <c r="C258" s="111" t="s">
        <v>49</v>
      </c>
      <c r="D258" s="111" t="s">
        <v>194</v>
      </c>
      <c r="E258" s="112">
        <v>14076000</v>
      </c>
      <c r="F258" s="112">
        <f t="shared" si="11"/>
        <v>924000</v>
      </c>
      <c r="G258" s="112">
        <v>14076000</v>
      </c>
      <c r="H258" s="113">
        <v>100</v>
      </c>
    </row>
    <row r="259" spans="1:8" ht="24.75" thickBot="1" x14ac:dyDescent="0.3">
      <c r="A259" s="111" t="s">
        <v>1207</v>
      </c>
      <c r="B259" s="112">
        <v>15000000</v>
      </c>
      <c r="C259" s="111" t="s">
        <v>49</v>
      </c>
      <c r="D259" s="111" t="s">
        <v>194</v>
      </c>
      <c r="E259" s="112">
        <v>14646000</v>
      </c>
      <c r="F259" s="112">
        <f t="shared" si="11"/>
        <v>354000</v>
      </c>
      <c r="G259" s="112">
        <v>14646000</v>
      </c>
      <c r="H259" s="113">
        <v>100</v>
      </c>
    </row>
    <row r="260" spans="1:8" ht="24.75" thickBot="1" x14ac:dyDescent="0.3">
      <c r="A260" s="111" t="s">
        <v>1208</v>
      </c>
      <c r="B260" s="112">
        <v>97500000</v>
      </c>
      <c r="C260" s="111" t="s">
        <v>49</v>
      </c>
      <c r="D260" s="111" t="s">
        <v>89</v>
      </c>
      <c r="E260" s="112">
        <v>97476000</v>
      </c>
      <c r="F260" s="112">
        <f t="shared" si="11"/>
        <v>24000</v>
      </c>
      <c r="G260" s="112">
        <v>97476000</v>
      </c>
      <c r="H260" s="113">
        <v>100</v>
      </c>
    </row>
    <row r="261" spans="1:8" ht="24.75" thickBot="1" x14ac:dyDescent="0.3">
      <c r="A261" s="111" t="s">
        <v>1209</v>
      </c>
      <c r="B261" s="112">
        <v>96100000</v>
      </c>
      <c r="C261" s="111" t="s">
        <v>49</v>
      </c>
      <c r="D261" s="111" t="s">
        <v>89</v>
      </c>
      <c r="E261" s="112">
        <v>96002000</v>
      </c>
      <c r="F261" s="112">
        <f t="shared" si="11"/>
        <v>98000</v>
      </c>
      <c r="G261" s="112">
        <v>96002000</v>
      </c>
      <c r="H261" s="113">
        <v>100</v>
      </c>
    </row>
    <row r="262" spans="1:8" ht="24.75" thickBot="1" x14ac:dyDescent="0.3">
      <c r="A262" s="111" t="s">
        <v>1210</v>
      </c>
      <c r="B262" s="112">
        <v>191500000</v>
      </c>
      <c r="C262" s="111" t="s">
        <v>49</v>
      </c>
      <c r="D262" s="111" t="s">
        <v>89</v>
      </c>
      <c r="E262" s="112">
        <v>191427000</v>
      </c>
      <c r="F262" s="112">
        <f t="shared" si="11"/>
        <v>73000</v>
      </c>
      <c r="G262" s="112">
        <v>191427000</v>
      </c>
      <c r="H262" s="113">
        <v>100</v>
      </c>
    </row>
    <row r="263" spans="1:8" ht="24.75" thickBot="1" x14ac:dyDescent="0.3">
      <c r="A263" s="111" t="s">
        <v>1211</v>
      </c>
      <c r="B263" s="112">
        <v>189000000</v>
      </c>
      <c r="C263" s="111" t="s">
        <v>49</v>
      </c>
      <c r="D263" s="111" t="s">
        <v>89</v>
      </c>
      <c r="E263" s="112">
        <v>188788000</v>
      </c>
      <c r="F263" s="112">
        <f t="shared" si="11"/>
        <v>212000</v>
      </c>
      <c r="G263" s="112">
        <v>188788000</v>
      </c>
      <c r="H263" s="113">
        <v>100</v>
      </c>
    </row>
    <row r="264" spans="1:8" ht="12.75" thickBot="1" x14ac:dyDescent="0.3">
      <c r="A264" s="111" t="s">
        <v>1212</v>
      </c>
      <c r="B264" s="112">
        <v>190200000</v>
      </c>
      <c r="C264" s="111" t="s">
        <v>49</v>
      </c>
      <c r="D264" s="111" t="s">
        <v>89</v>
      </c>
      <c r="E264" s="112">
        <v>190126000</v>
      </c>
      <c r="F264" s="112">
        <f t="shared" si="11"/>
        <v>74000</v>
      </c>
      <c r="G264" s="112">
        <v>190126000</v>
      </c>
      <c r="H264" s="113">
        <v>100</v>
      </c>
    </row>
    <row r="265" spans="1:8" ht="12.75" thickBot="1" x14ac:dyDescent="0.3">
      <c r="A265" s="111" t="s">
        <v>1213</v>
      </c>
      <c r="B265" s="112">
        <f>444336000+37200000</f>
        <v>481536000</v>
      </c>
      <c r="C265" s="111" t="s">
        <v>19</v>
      </c>
      <c r="D265" s="111" t="s">
        <v>19</v>
      </c>
      <c r="E265" s="112">
        <v>0</v>
      </c>
      <c r="F265" s="112">
        <f t="shared" si="11"/>
        <v>132392000</v>
      </c>
      <c r="G265" s="112">
        <f>294413000+54731000</f>
        <v>349144000</v>
      </c>
      <c r="H265" s="113">
        <f>G265/B265*100</f>
        <v>72.506313131313121</v>
      </c>
    </row>
    <row r="266" spans="1:8" s="3" customFormat="1" ht="24.75" thickBot="1" x14ac:dyDescent="0.3">
      <c r="A266" s="111" t="s">
        <v>1214</v>
      </c>
      <c r="B266" s="112">
        <v>195000000</v>
      </c>
      <c r="C266" s="111" t="s">
        <v>49</v>
      </c>
      <c r="D266" s="111" t="s">
        <v>89</v>
      </c>
      <c r="E266" s="112">
        <v>191715000</v>
      </c>
      <c r="F266" s="112">
        <f t="shared" si="11"/>
        <v>3285000</v>
      </c>
      <c r="G266" s="112">
        <v>191715000</v>
      </c>
      <c r="H266" s="113">
        <v>100</v>
      </c>
    </row>
    <row r="267" spans="1:8" s="3" customFormat="1" ht="24.75" thickBot="1" x14ac:dyDescent="0.3">
      <c r="A267" s="111" t="s">
        <v>1215</v>
      </c>
      <c r="B267" s="112">
        <v>100000000</v>
      </c>
      <c r="C267" s="111" t="s">
        <v>49</v>
      </c>
      <c r="D267" s="111" t="s">
        <v>89</v>
      </c>
      <c r="E267" s="112">
        <v>94639000</v>
      </c>
      <c r="F267" s="112">
        <f t="shared" si="11"/>
        <v>5361000</v>
      </c>
      <c r="G267" s="112">
        <v>94639000</v>
      </c>
      <c r="H267" s="113">
        <v>100</v>
      </c>
    </row>
    <row r="268" spans="1:8" s="3" customFormat="1" ht="36.75" thickBot="1" x14ac:dyDescent="0.3">
      <c r="A268" s="111" t="s">
        <v>1216</v>
      </c>
      <c r="B268" s="112">
        <v>195000000</v>
      </c>
      <c r="C268" s="111" t="s">
        <v>49</v>
      </c>
      <c r="D268" s="111" t="s">
        <v>89</v>
      </c>
      <c r="E268" s="112">
        <v>192311000</v>
      </c>
      <c r="F268" s="112">
        <f t="shared" si="11"/>
        <v>2689000</v>
      </c>
      <c r="G268" s="112">
        <v>192311000</v>
      </c>
      <c r="H268" s="113">
        <v>100</v>
      </c>
    </row>
    <row r="269" spans="1:8" s="3" customFormat="1" ht="24.75" thickBot="1" x14ac:dyDescent="0.3">
      <c r="A269" s="111" t="s">
        <v>1217</v>
      </c>
      <c r="B269" s="112">
        <v>147000000</v>
      </c>
      <c r="C269" s="111" t="s">
        <v>49</v>
      </c>
      <c r="D269" s="111" t="s">
        <v>89</v>
      </c>
      <c r="E269" s="112">
        <v>146222000</v>
      </c>
      <c r="F269" s="112">
        <f t="shared" si="11"/>
        <v>778000</v>
      </c>
      <c r="G269" s="112">
        <v>146222000</v>
      </c>
      <c r="H269" s="113">
        <v>100</v>
      </c>
    </row>
    <row r="270" spans="1:8" s="3" customFormat="1" ht="24.75" thickBot="1" x14ac:dyDescent="0.3">
      <c r="A270" s="111" t="s">
        <v>1218</v>
      </c>
      <c r="B270" s="112">
        <v>100000000</v>
      </c>
      <c r="C270" s="111" t="s">
        <v>49</v>
      </c>
      <c r="D270" s="111" t="s">
        <v>89</v>
      </c>
      <c r="E270" s="112">
        <v>99016000</v>
      </c>
      <c r="F270" s="112">
        <f t="shared" si="11"/>
        <v>984000</v>
      </c>
      <c r="G270" s="112">
        <v>99016000</v>
      </c>
      <c r="H270" s="113">
        <v>100</v>
      </c>
    </row>
    <row r="271" spans="1:8" s="3" customFormat="1" ht="24.75" thickBot="1" x14ac:dyDescent="0.3">
      <c r="A271" s="111" t="s">
        <v>1219</v>
      </c>
      <c r="B271" s="112">
        <v>100000000</v>
      </c>
      <c r="C271" s="111" t="s">
        <v>49</v>
      </c>
      <c r="D271" s="111" t="s">
        <v>89</v>
      </c>
      <c r="E271" s="112">
        <v>98446000</v>
      </c>
      <c r="F271" s="112">
        <f t="shared" si="11"/>
        <v>1554000</v>
      </c>
      <c r="G271" s="112">
        <v>98446000</v>
      </c>
      <c r="H271" s="113">
        <v>100</v>
      </c>
    </row>
    <row r="272" spans="1:8" s="3" customFormat="1" ht="15.75" thickBot="1" x14ac:dyDescent="0.3">
      <c r="A272" s="111" t="s">
        <v>1220</v>
      </c>
      <c r="B272" s="112">
        <v>100000000</v>
      </c>
      <c r="C272" s="111" t="s">
        <v>49</v>
      </c>
      <c r="D272" s="111" t="s">
        <v>89</v>
      </c>
      <c r="E272" s="112">
        <v>98301000</v>
      </c>
      <c r="F272" s="112">
        <f t="shared" si="11"/>
        <v>1699000</v>
      </c>
      <c r="G272" s="112">
        <v>98301000</v>
      </c>
      <c r="H272" s="113">
        <v>100</v>
      </c>
    </row>
    <row r="273" spans="1:8" s="3" customFormat="1" ht="24.75" thickBot="1" x14ac:dyDescent="0.3">
      <c r="A273" s="111" t="s">
        <v>1221</v>
      </c>
      <c r="B273" s="112">
        <v>147000000</v>
      </c>
      <c r="C273" s="111" t="s">
        <v>49</v>
      </c>
      <c r="D273" s="111" t="s">
        <v>89</v>
      </c>
      <c r="E273" s="112">
        <v>143900000</v>
      </c>
      <c r="F273" s="112">
        <f t="shared" si="11"/>
        <v>3100000</v>
      </c>
      <c r="G273" s="112">
        <v>143900000</v>
      </c>
      <c r="H273" s="113">
        <v>100</v>
      </c>
    </row>
    <row r="274" spans="1:8" s="3" customFormat="1" ht="24.75" thickBot="1" x14ac:dyDescent="0.3">
      <c r="A274" s="111" t="s">
        <v>1222</v>
      </c>
      <c r="B274" s="112">
        <v>147000000</v>
      </c>
      <c r="C274" s="111" t="s">
        <v>49</v>
      </c>
      <c r="D274" s="111" t="s">
        <v>89</v>
      </c>
      <c r="E274" s="112">
        <v>143654000</v>
      </c>
      <c r="F274" s="112">
        <f t="shared" si="11"/>
        <v>3346000</v>
      </c>
      <c r="G274" s="112">
        <v>143654000</v>
      </c>
      <c r="H274" s="113">
        <v>100</v>
      </c>
    </row>
    <row r="275" spans="1:8" ht="12.75" thickBot="1" x14ac:dyDescent="0.3">
      <c r="A275" s="97" t="s">
        <v>382</v>
      </c>
      <c r="B275" s="98">
        <f>SUM(B276)</f>
        <v>10447750000</v>
      </c>
      <c r="C275" s="98"/>
      <c r="D275" s="98"/>
      <c r="E275" s="99">
        <f>SUM(E276)</f>
        <v>0</v>
      </c>
      <c r="F275" s="98">
        <f t="shared" si="11"/>
        <v>1562063688</v>
      </c>
      <c r="G275" s="98">
        <f>SUM(G276)</f>
        <v>8885686312</v>
      </c>
      <c r="H275" s="100">
        <f>H276</f>
        <v>85.05</v>
      </c>
    </row>
    <row r="276" spans="1:8" ht="36.75" thickBot="1" x14ac:dyDescent="0.3">
      <c r="A276" s="101" t="s">
        <v>384</v>
      </c>
      <c r="B276" s="102">
        <f>SUM(B277,B279,B320,B322,B325)</f>
        <v>10447750000</v>
      </c>
      <c r="C276" s="103"/>
      <c r="D276" s="103"/>
      <c r="E276" s="104"/>
      <c r="F276" s="102">
        <f t="shared" si="11"/>
        <v>1562063688</v>
      </c>
      <c r="G276" s="102">
        <f>SUM(G277,G279,G320,G322,G325)</f>
        <v>8885686312</v>
      </c>
      <c r="H276" s="105">
        <v>85.05</v>
      </c>
    </row>
    <row r="277" spans="1:8" ht="60.75" thickBot="1" x14ac:dyDescent="0.3">
      <c r="A277" s="106" t="s">
        <v>1223</v>
      </c>
      <c r="B277" s="107">
        <v>300000000</v>
      </c>
      <c r="C277" s="108"/>
      <c r="D277" s="108"/>
      <c r="E277" s="109"/>
      <c r="F277" s="107">
        <f t="shared" si="11"/>
        <v>134404846</v>
      </c>
      <c r="G277" s="107">
        <f>SUM(G278)</f>
        <v>165595154</v>
      </c>
      <c r="H277" s="110">
        <f>G277/B277*100</f>
        <v>55.198384666666669</v>
      </c>
    </row>
    <row r="278" spans="1:8" ht="12.75" thickBot="1" x14ac:dyDescent="0.3">
      <c r="A278" s="111" t="s">
        <v>18</v>
      </c>
      <c r="B278" s="112">
        <v>300000000</v>
      </c>
      <c r="C278" s="111" t="s">
        <v>19</v>
      </c>
      <c r="D278" s="111" t="s">
        <v>19</v>
      </c>
      <c r="E278" s="112">
        <v>0</v>
      </c>
      <c r="F278" s="112">
        <f t="shared" si="11"/>
        <v>134404846</v>
      </c>
      <c r="G278" s="112">
        <v>165595154</v>
      </c>
      <c r="H278" s="113">
        <f>G278/B278*100</f>
        <v>55.198384666666669</v>
      </c>
    </row>
    <row r="279" spans="1:8" ht="48.75" thickBot="1" x14ac:dyDescent="0.3">
      <c r="A279" s="106" t="s">
        <v>1224</v>
      </c>
      <c r="B279" s="107">
        <f>SUM(B280:B319)</f>
        <v>9922750000</v>
      </c>
      <c r="C279" s="108"/>
      <c r="D279" s="108"/>
      <c r="E279" s="109"/>
      <c r="F279" s="107">
        <f t="shared" si="11"/>
        <v>1333410273</v>
      </c>
      <c r="G279" s="107">
        <f>SUM(G280:G319)</f>
        <v>8589339727</v>
      </c>
      <c r="H279" s="110">
        <f>AVERAGE(H280:H319)</f>
        <v>94.223094778237723</v>
      </c>
    </row>
    <row r="280" spans="1:8" ht="24.75" thickBot="1" x14ac:dyDescent="0.3">
      <c r="A280" s="111" t="s">
        <v>1225</v>
      </c>
      <c r="B280" s="112">
        <v>85000000</v>
      </c>
      <c r="C280" s="111" t="s">
        <v>49</v>
      </c>
      <c r="D280" s="111" t="s">
        <v>194</v>
      </c>
      <c r="E280" s="112">
        <v>84154000</v>
      </c>
      <c r="F280" s="112">
        <f t="shared" si="11"/>
        <v>17676800</v>
      </c>
      <c r="G280" s="112">
        <v>67323200</v>
      </c>
      <c r="H280" s="113">
        <f>G280/E280*100</f>
        <v>80</v>
      </c>
    </row>
    <row r="281" spans="1:8" ht="24.75" thickBot="1" x14ac:dyDescent="0.3">
      <c r="A281" s="111" t="s">
        <v>1226</v>
      </c>
      <c r="B281" s="112">
        <v>75000000</v>
      </c>
      <c r="C281" s="111" t="s">
        <v>49</v>
      </c>
      <c r="D281" s="111" t="s">
        <v>194</v>
      </c>
      <c r="E281" s="112">
        <v>74284000</v>
      </c>
      <c r="F281" s="112">
        <f t="shared" si="11"/>
        <v>75000000</v>
      </c>
      <c r="G281" s="112">
        <v>0</v>
      </c>
      <c r="H281" s="113">
        <v>0</v>
      </c>
    </row>
    <row r="282" spans="1:8" ht="12.75" thickBot="1" x14ac:dyDescent="0.3">
      <c r="A282" s="111" t="s">
        <v>1227</v>
      </c>
      <c r="B282" s="112">
        <v>3000000000</v>
      </c>
      <c r="C282" s="111" t="s">
        <v>49</v>
      </c>
      <c r="D282" s="111" t="s">
        <v>89</v>
      </c>
      <c r="E282" s="112">
        <v>2855999000</v>
      </c>
      <c r="F282" s="112">
        <f t="shared" si="11"/>
        <v>786000250</v>
      </c>
      <c r="G282" s="112">
        <f>856799700+499799825+857400225</f>
        <v>2213999750</v>
      </c>
      <c r="H282" s="113">
        <v>75</v>
      </c>
    </row>
    <row r="283" spans="1:8" ht="24.75" thickBot="1" x14ac:dyDescent="0.3">
      <c r="A283" s="111" t="s">
        <v>1228</v>
      </c>
      <c r="B283" s="112">
        <v>65000000</v>
      </c>
      <c r="C283" s="111" t="s">
        <v>49</v>
      </c>
      <c r="D283" s="111" t="s">
        <v>194</v>
      </c>
      <c r="E283" s="112">
        <v>64324000</v>
      </c>
      <c r="F283" s="112">
        <f t="shared" si="11"/>
        <v>3892200</v>
      </c>
      <c r="G283" s="112">
        <f>51459200+9648600</f>
        <v>61107800</v>
      </c>
      <c r="H283" s="113">
        <v>95</v>
      </c>
    </row>
    <row r="284" spans="1:8" ht="24.75" thickBot="1" x14ac:dyDescent="0.3">
      <c r="A284" s="111" t="s">
        <v>1229</v>
      </c>
      <c r="B284" s="112">
        <v>45000000</v>
      </c>
      <c r="C284" s="111" t="s">
        <v>49</v>
      </c>
      <c r="D284" s="111" t="s">
        <v>194</v>
      </c>
      <c r="E284" s="112">
        <v>44622000</v>
      </c>
      <c r="F284" s="112">
        <f t="shared" si="11"/>
        <v>11533500</v>
      </c>
      <c r="G284" s="112">
        <v>33466500</v>
      </c>
      <c r="H284" s="113">
        <v>75</v>
      </c>
    </row>
    <row r="285" spans="1:8" ht="24.75" thickBot="1" x14ac:dyDescent="0.3">
      <c r="A285" s="111" t="s">
        <v>1230</v>
      </c>
      <c r="B285" s="112">
        <v>801000000</v>
      </c>
      <c r="C285" s="111" t="s">
        <v>49</v>
      </c>
      <c r="D285" s="111" t="s">
        <v>89</v>
      </c>
      <c r="E285" s="112">
        <v>728000000</v>
      </c>
      <c r="F285" s="112">
        <f t="shared" si="11"/>
        <v>237000000</v>
      </c>
      <c r="G285" s="112">
        <f>218400000+127400000+127400000+90800000</f>
        <v>564000000</v>
      </c>
      <c r="H285" s="113">
        <v>82.54</v>
      </c>
    </row>
    <row r="286" spans="1:8" ht="24.75" thickBot="1" x14ac:dyDescent="0.3">
      <c r="A286" s="111" t="s">
        <v>1231</v>
      </c>
      <c r="B286" s="112">
        <v>45000000</v>
      </c>
      <c r="C286" s="111" t="s">
        <v>49</v>
      </c>
      <c r="D286" s="111" t="s">
        <v>194</v>
      </c>
      <c r="E286" s="112">
        <v>43969000</v>
      </c>
      <c r="F286" s="112">
        <f t="shared" si="11"/>
        <v>1031000</v>
      </c>
      <c r="G286" s="112">
        <f>35175200+8793800</f>
        <v>43969000</v>
      </c>
      <c r="H286" s="113">
        <v>100</v>
      </c>
    </row>
    <row r="287" spans="1:8" ht="24.75" thickBot="1" x14ac:dyDescent="0.3">
      <c r="A287" s="111" t="s">
        <v>1232</v>
      </c>
      <c r="B287" s="112">
        <v>40000000</v>
      </c>
      <c r="C287" s="111" t="s">
        <v>49</v>
      </c>
      <c r="D287" s="111" t="s">
        <v>194</v>
      </c>
      <c r="E287" s="112">
        <v>39516000</v>
      </c>
      <c r="F287" s="112">
        <f t="shared" si="11"/>
        <v>484000</v>
      </c>
      <c r="G287" s="112">
        <v>39516000</v>
      </c>
      <c r="H287" s="113">
        <v>100</v>
      </c>
    </row>
    <row r="288" spans="1:8" ht="12.75" thickBot="1" x14ac:dyDescent="0.3">
      <c r="A288" s="111" t="s">
        <v>1233</v>
      </c>
      <c r="B288" s="112">
        <v>550000000</v>
      </c>
      <c r="C288" s="111" t="s">
        <v>49</v>
      </c>
      <c r="D288" s="111" t="s">
        <v>89</v>
      </c>
      <c r="E288" s="112">
        <v>500000000</v>
      </c>
      <c r="F288" s="112">
        <f t="shared" si="11"/>
        <v>0</v>
      </c>
      <c r="G288" s="112">
        <v>550000000</v>
      </c>
      <c r="H288" s="113">
        <v>100</v>
      </c>
    </row>
    <row r="289" spans="1:8" ht="24.75" thickBot="1" x14ac:dyDescent="0.3">
      <c r="A289" s="111" t="s">
        <v>1234</v>
      </c>
      <c r="B289" s="112">
        <v>30000000</v>
      </c>
      <c r="C289" s="111" t="s">
        <v>49</v>
      </c>
      <c r="D289" s="111" t="s">
        <v>194</v>
      </c>
      <c r="E289" s="112">
        <v>29748000</v>
      </c>
      <c r="F289" s="112">
        <f t="shared" si="11"/>
        <v>252000</v>
      </c>
      <c r="G289" s="112">
        <v>29748000</v>
      </c>
      <c r="H289" s="113">
        <v>100</v>
      </c>
    </row>
    <row r="290" spans="1:8" ht="24.75" thickBot="1" x14ac:dyDescent="0.3">
      <c r="A290" s="111" t="s">
        <v>1235</v>
      </c>
      <c r="B290" s="112">
        <v>35000000</v>
      </c>
      <c r="C290" s="111" t="s">
        <v>49</v>
      </c>
      <c r="D290" s="111" t="s">
        <v>194</v>
      </c>
      <c r="E290" s="112">
        <v>34632000</v>
      </c>
      <c r="F290" s="112">
        <f t="shared" si="11"/>
        <v>368000</v>
      </c>
      <c r="G290" s="112">
        <v>34632000</v>
      </c>
      <c r="H290" s="113">
        <v>100</v>
      </c>
    </row>
    <row r="291" spans="1:8" ht="12.75" thickBot="1" x14ac:dyDescent="0.25">
      <c r="A291" s="111" t="s">
        <v>1236</v>
      </c>
      <c r="B291" s="112">
        <v>450000000</v>
      </c>
      <c r="C291" s="111" t="s">
        <v>49</v>
      </c>
      <c r="D291" s="111" t="s">
        <v>89</v>
      </c>
      <c r="E291" s="129">
        <v>445100000</v>
      </c>
      <c r="F291" s="112">
        <f t="shared" si="11"/>
        <v>4900000</v>
      </c>
      <c r="G291" s="129">
        <v>445100000</v>
      </c>
      <c r="H291" s="113">
        <v>100</v>
      </c>
    </row>
    <row r="292" spans="1:8" ht="24.75" thickBot="1" x14ac:dyDescent="0.3">
      <c r="A292" s="111" t="s">
        <v>1237</v>
      </c>
      <c r="B292" s="112">
        <v>75000000</v>
      </c>
      <c r="C292" s="111" t="s">
        <v>49</v>
      </c>
      <c r="D292" s="111" t="s">
        <v>194</v>
      </c>
      <c r="E292" s="112">
        <v>73792000</v>
      </c>
      <c r="F292" s="112">
        <f t="shared" si="11"/>
        <v>1208000</v>
      </c>
      <c r="G292" s="112">
        <f>59033600+14758400</f>
        <v>73792000</v>
      </c>
      <c r="H292" s="113">
        <v>100</v>
      </c>
    </row>
    <row r="293" spans="1:8" ht="24.75" thickBot="1" x14ac:dyDescent="0.3">
      <c r="A293" s="111" t="s">
        <v>1238</v>
      </c>
      <c r="B293" s="112">
        <v>75000000</v>
      </c>
      <c r="C293" s="111" t="s">
        <v>49</v>
      </c>
      <c r="D293" s="111" t="s">
        <v>194</v>
      </c>
      <c r="E293" s="112">
        <v>74070000</v>
      </c>
      <c r="F293" s="112">
        <f t="shared" si="11"/>
        <v>930000</v>
      </c>
      <c r="G293" s="112">
        <v>74070000</v>
      </c>
      <c r="H293" s="113">
        <v>100</v>
      </c>
    </row>
    <row r="294" spans="1:8" ht="24.75" thickBot="1" x14ac:dyDescent="0.3">
      <c r="A294" s="111" t="s">
        <v>1239</v>
      </c>
      <c r="B294" s="112">
        <v>2450000000</v>
      </c>
      <c r="C294" s="111" t="s">
        <v>49</v>
      </c>
      <c r="D294" s="111" t="s">
        <v>89</v>
      </c>
      <c r="E294" s="112">
        <v>2406507000</v>
      </c>
      <c r="F294" s="112">
        <f t="shared" si="11"/>
        <v>0</v>
      </c>
      <c r="G294" s="112">
        <f>721952100+1728047900</f>
        <v>2450000000</v>
      </c>
      <c r="H294" s="113">
        <f>G294/B294*100</f>
        <v>100</v>
      </c>
    </row>
    <row r="295" spans="1:8" ht="12.75" thickBot="1" x14ac:dyDescent="0.3">
      <c r="A295" s="111" t="s">
        <v>1240</v>
      </c>
      <c r="B295" s="112">
        <f>324000000+98750000</f>
        <v>422750000</v>
      </c>
      <c r="C295" s="111" t="s">
        <v>19</v>
      </c>
      <c r="D295" s="111" t="s">
        <v>19</v>
      </c>
      <c r="E295" s="112">
        <v>0</v>
      </c>
      <c r="F295" s="112">
        <f t="shared" si="11"/>
        <v>163250023</v>
      </c>
      <c r="G295" s="81">
        <v>259499977</v>
      </c>
      <c r="H295" s="113">
        <f>G295/B295*100</f>
        <v>61.38379112950917</v>
      </c>
    </row>
    <row r="296" spans="1:8" ht="24.75" thickBot="1" x14ac:dyDescent="0.3">
      <c r="A296" s="111" t="s">
        <v>1241</v>
      </c>
      <c r="B296" s="112">
        <v>8000000</v>
      </c>
      <c r="C296" s="111" t="s">
        <v>49</v>
      </c>
      <c r="D296" s="111" t="s">
        <v>194</v>
      </c>
      <c r="E296" s="112">
        <v>7900000</v>
      </c>
      <c r="F296" s="112">
        <f t="shared" si="11"/>
        <v>100000</v>
      </c>
      <c r="G296" s="112">
        <v>7900000</v>
      </c>
      <c r="H296" s="113">
        <v>100</v>
      </c>
    </row>
    <row r="297" spans="1:8" ht="36.75" thickBot="1" x14ac:dyDescent="0.3">
      <c r="A297" s="111" t="s">
        <v>1242</v>
      </c>
      <c r="B297" s="112">
        <v>8000000</v>
      </c>
      <c r="C297" s="111" t="s">
        <v>49</v>
      </c>
      <c r="D297" s="111" t="s">
        <v>194</v>
      </c>
      <c r="E297" s="112">
        <v>7900000</v>
      </c>
      <c r="F297" s="112">
        <f t="shared" ref="F297:F348" si="12">B297-G297</f>
        <v>100000</v>
      </c>
      <c r="G297" s="112">
        <v>7900000</v>
      </c>
      <c r="H297" s="113">
        <v>100</v>
      </c>
    </row>
    <row r="298" spans="1:8" ht="24.75" thickBot="1" x14ac:dyDescent="0.3">
      <c r="A298" s="111" t="s">
        <v>1243</v>
      </c>
      <c r="B298" s="112">
        <v>8000000</v>
      </c>
      <c r="C298" s="111" t="s">
        <v>49</v>
      </c>
      <c r="D298" s="111" t="s">
        <v>194</v>
      </c>
      <c r="E298" s="112">
        <v>7900000</v>
      </c>
      <c r="F298" s="112">
        <f t="shared" si="12"/>
        <v>100000</v>
      </c>
      <c r="G298" s="112">
        <v>7900000</v>
      </c>
      <c r="H298" s="113">
        <v>100</v>
      </c>
    </row>
    <row r="299" spans="1:8" ht="24.75" thickBot="1" x14ac:dyDescent="0.3">
      <c r="A299" s="111" t="s">
        <v>1244</v>
      </c>
      <c r="B299" s="112">
        <v>8000000</v>
      </c>
      <c r="C299" s="111" t="s">
        <v>49</v>
      </c>
      <c r="D299" s="111" t="s">
        <v>194</v>
      </c>
      <c r="E299" s="112">
        <v>7900000</v>
      </c>
      <c r="F299" s="112">
        <f t="shared" si="12"/>
        <v>100000</v>
      </c>
      <c r="G299" s="112">
        <v>7900000</v>
      </c>
      <c r="H299" s="113">
        <v>100</v>
      </c>
    </row>
    <row r="300" spans="1:8" ht="24.75" thickBot="1" x14ac:dyDescent="0.3">
      <c r="A300" s="111" t="s">
        <v>1245</v>
      </c>
      <c r="B300" s="112">
        <v>8000000</v>
      </c>
      <c r="C300" s="111" t="s">
        <v>49</v>
      </c>
      <c r="D300" s="111" t="s">
        <v>194</v>
      </c>
      <c r="E300" s="112">
        <v>7900000</v>
      </c>
      <c r="F300" s="112">
        <f t="shared" si="12"/>
        <v>100000</v>
      </c>
      <c r="G300" s="112">
        <v>7900000</v>
      </c>
      <c r="H300" s="113">
        <v>100</v>
      </c>
    </row>
    <row r="301" spans="1:8" ht="24.75" thickBot="1" x14ac:dyDescent="0.3">
      <c r="A301" s="111" t="s">
        <v>1246</v>
      </c>
      <c r="B301" s="112">
        <v>8000000</v>
      </c>
      <c r="C301" s="111" t="s">
        <v>49</v>
      </c>
      <c r="D301" s="111" t="s">
        <v>194</v>
      </c>
      <c r="E301" s="112">
        <v>7900000</v>
      </c>
      <c r="F301" s="112">
        <f t="shared" si="12"/>
        <v>100000</v>
      </c>
      <c r="G301" s="112">
        <v>7900000</v>
      </c>
      <c r="H301" s="113">
        <v>100</v>
      </c>
    </row>
    <row r="302" spans="1:8" ht="36.75" thickBot="1" x14ac:dyDescent="0.3">
      <c r="A302" s="111" t="s">
        <v>1247</v>
      </c>
      <c r="B302" s="112">
        <v>8000000</v>
      </c>
      <c r="C302" s="111" t="s">
        <v>49</v>
      </c>
      <c r="D302" s="111" t="s">
        <v>194</v>
      </c>
      <c r="E302" s="112">
        <v>7900000</v>
      </c>
      <c r="F302" s="112">
        <f t="shared" si="12"/>
        <v>100000</v>
      </c>
      <c r="G302" s="112">
        <v>7900000</v>
      </c>
      <c r="H302" s="113">
        <v>100</v>
      </c>
    </row>
    <row r="303" spans="1:8" ht="36.75" thickBot="1" x14ac:dyDescent="0.3">
      <c r="A303" s="111" t="s">
        <v>1248</v>
      </c>
      <c r="B303" s="112">
        <v>10000000</v>
      </c>
      <c r="C303" s="111" t="s">
        <v>49</v>
      </c>
      <c r="D303" s="111" t="s">
        <v>194</v>
      </c>
      <c r="E303" s="112">
        <v>9800000</v>
      </c>
      <c r="F303" s="112">
        <f t="shared" si="12"/>
        <v>200000</v>
      </c>
      <c r="G303" s="112">
        <v>9800000</v>
      </c>
      <c r="H303" s="113">
        <v>100</v>
      </c>
    </row>
    <row r="304" spans="1:8" ht="24.75" thickBot="1" x14ac:dyDescent="0.3">
      <c r="A304" s="111" t="s">
        <v>1249</v>
      </c>
      <c r="B304" s="112">
        <v>10000000</v>
      </c>
      <c r="C304" s="111" t="s">
        <v>49</v>
      </c>
      <c r="D304" s="111" t="s">
        <v>194</v>
      </c>
      <c r="E304" s="112">
        <v>9800000</v>
      </c>
      <c r="F304" s="112">
        <f t="shared" si="12"/>
        <v>200000</v>
      </c>
      <c r="G304" s="112">
        <v>9800000</v>
      </c>
      <c r="H304" s="113">
        <v>100</v>
      </c>
    </row>
    <row r="305" spans="1:8" ht="36.75" thickBot="1" x14ac:dyDescent="0.3">
      <c r="A305" s="111" t="s">
        <v>1250</v>
      </c>
      <c r="B305" s="112">
        <v>10000000</v>
      </c>
      <c r="C305" s="111" t="s">
        <v>49</v>
      </c>
      <c r="D305" s="111" t="s">
        <v>194</v>
      </c>
      <c r="E305" s="112">
        <v>9800000</v>
      </c>
      <c r="F305" s="112">
        <f t="shared" si="12"/>
        <v>200000</v>
      </c>
      <c r="G305" s="112">
        <v>9800000</v>
      </c>
      <c r="H305" s="113">
        <v>100</v>
      </c>
    </row>
    <row r="306" spans="1:8" ht="36.75" thickBot="1" x14ac:dyDescent="0.3">
      <c r="A306" s="111" t="s">
        <v>1251</v>
      </c>
      <c r="B306" s="112">
        <v>10000000</v>
      </c>
      <c r="C306" s="111" t="s">
        <v>49</v>
      </c>
      <c r="D306" s="111" t="s">
        <v>194</v>
      </c>
      <c r="E306" s="112">
        <v>9800000</v>
      </c>
      <c r="F306" s="112">
        <f t="shared" si="12"/>
        <v>200000</v>
      </c>
      <c r="G306" s="112">
        <v>9800000</v>
      </c>
      <c r="H306" s="113">
        <v>100</v>
      </c>
    </row>
    <row r="307" spans="1:8" ht="24.75" thickBot="1" x14ac:dyDescent="0.3">
      <c r="A307" s="111" t="s">
        <v>1252</v>
      </c>
      <c r="B307" s="112">
        <v>10000000</v>
      </c>
      <c r="C307" s="111" t="s">
        <v>49</v>
      </c>
      <c r="D307" s="111" t="s">
        <v>194</v>
      </c>
      <c r="E307" s="112">
        <v>9800000</v>
      </c>
      <c r="F307" s="112">
        <f t="shared" si="12"/>
        <v>200000</v>
      </c>
      <c r="G307" s="112">
        <v>9800000</v>
      </c>
      <c r="H307" s="113">
        <v>100</v>
      </c>
    </row>
    <row r="308" spans="1:8" ht="36.75" thickBot="1" x14ac:dyDescent="0.3">
      <c r="A308" s="111" t="s">
        <v>1253</v>
      </c>
      <c r="B308" s="112">
        <v>10000000</v>
      </c>
      <c r="C308" s="111" t="s">
        <v>49</v>
      </c>
      <c r="D308" s="111" t="s">
        <v>194</v>
      </c>
      <c r="E308" s="112">
        <v>9800000</v>
      </c>
      <c r="F308" s="112">
        <f t="shared" si="12"/>
        <v>200000</v>
      </c>
      <c r="G308" s="112">
        <v>9800000</v>
      </c>
      <c r="H308" s="113">
        <v>100</v>
      </c>
    </row>
    <row r="309" spans="1:8" ht="24.75" thickBot="1" x14ac:dyDescent="0.3">
      <c r="A309" s="111" t="s">
        <v>1254</v>
      </c>
      <c r="B309" s="112">
        <v>10000000</v>
      </c>
      <c r="C309" s="111" t="s">
        <v>49</v>
      </c>
      <c r="D309" s="111" t="s">
        <v>194</v>
      </c>
      <c r="E309" s="112">
        <v>9800000</v>
      </c>
      <c r="F309" s="112">
        <f t="shared" si="12"/>
        <v>200000</v>
      </c>
      <c r="G309" s="112">
        <v>9800000</v>
      </c>
      <c r="H309" s="113">
        <v>100</v>
      </c>
    </row>
    <row r="310" spans="1:8" ht="24.75" thickBot="1" x14ac:dyDescent="0.3">
      <c r="A310" s="111" t="s">
        <v>1255</v>
      </c>
      <c r="B310" s="112">
        <v>200000000</v>
      </c>
      <c r="C310" s="111" t="s">
        <v>49</v>
      </c>
      <c r="D310" s="111" t="s">
        <v>89</v>
      </c>
      <c r="E310" s="112">
        <v>197592000</v>
      </c>
      <c r="F310" s="112">
        <f t="shared" si="12"/>
        <v>2408000</v>
      </c>
      <c r="G310" s="112">
        <v>197592000</v>
      </c>
      <c r="H310" s="113">
        <v>100</v>
      </c>
    </row>
    <row r="311" spans="1:8" ht="24.75" thickBot="1" x14ac:dyDescent="0.3">
      <c r="A311" s="111" t="s">
        <v>1256</v>
      </c>
      <c r="B311" s="112">
        <v>200000000</v>
      </c>
      <c r="C311" s="111" t="s">
        <v>49</v>
      </c>
      <c r="D311" s="111" t="s">
        <v>89</v>
      </c>
      <c r="E311" s="112">
        <v>197595000</v>
      </c>
      <c r="F311" s="112">
        <f t="shared" si="12"/>
        <v>2405000</v>
      </c>
      <c r="G311" s="112">
        <v>197595000</v>
      </c>
      <c r="H311" s="113">
        <v>100</v>
      </c>
    </row>
    <row r="312" spans="1:8" ht="24.75" thickBot="1" x14ac:dyDescent="0.3">
      <c r="A312" s="111" t="s">
        <v>1257</v>
      </c>
      <c r="B312" s="112">
        <v>200000000</v>
      </c>
      <c r="C312" s="111" t="s">
        <v>49</v>
      </c>
      <c r="D312" s="111" t="s">
        <v>89</v>
      </c>
      <c r="E312" s="112">
        <v>194221000</v>
      </c>
      <c r="F312" s="112">
        <f t="shared" si="12"/>
        <v>5779000</v>
      </c>
      <c r="G312" s="112">
        <v>194221000</v>
      </c>
      <c r="H312" s="113">
        <v>100</v>
      </c>
    </row>
    <row r="313" spans="1:8" ht="12.75" thickBot="1" x14ac:dyDescent="0.3">
      <c r="A313" s="111" t="s">
        <v>1258</v>
      </c>
      <c r="B313" s="112">
        <v>200000000</v>
      </c>
      <c r="C313" s="111" t="s">
        <v>49</v>
      </c>
      <c r="D313" s="111" t="s">
        <v>89</v>
      </c>
      <c r="E313" s="112">
        <v>198163000</v>
      </c>
      <c r="F313" s="112">
        <f t="shared" si="12"/>
        <v>1837000</v>
      </c>
      <c r="G313" s="112">
        <v>198163000</v>
      </c>
      <c r="H313" s="113">
        <v>100</v>
      </c>
    </row>
    <row r="314" spans="1:8" ht="24.75" thickBot="1" x14ac:dyDescent="0.3">
      <c r="A314" s="111" t="s">
        <v>1259</v>
      </c>
      <c r="B314" s="112">
        <v>200000000</v>
      </c>
      <c r="C314" s="111" t="s">
        <v>49</v>
      </c>
      <c r="D314" s="111" t="s">
        <v>89</v>
      </c>
      <c r="E314" s="112">
        <v>197555000</v>
      </c>
      <c r="F314" s="112">
        <f t="shared" si="12"/>
        <v>2445000</v>
      </c>
      <c r="G314" s="112">
        <v>197555000</v>
      </c>
      <c r="H314" s="113">
        <v>100</v>
      </c>
    </row>
    <row r="315" spans="1:8" ht="12.75" thickBot="1" x14ac:dyDescent="0.3">
      <c r="A315" s="111" t="s">
        <v>1260</v>
      </c>
      <c r="B315" s="112">
        <v>173000000</v>
      </c>
      <c r="C315" s="111" t="s">
        <v>49</v>
      </c>
      <c r="D315" s="111" t="s">
        <v>89</v>
      </c>
      <c r="E315" s="112">
        <v>171455000</v>
      </c>
      <c r="F315" s="112">
        <f t="shared" si="12"/>
        <v>1545000</v>
      </c>
      <c r="G315" s="112">
        <v>171455000</v>
      </c>
      <c r="H315" s="113">
        <v>100</v>
      </c>
    </row>
    <row r="316" spans="1:8" ht="24.75" thickBot="1" x14ac:dyDescent="0.3">
      <c r="A316" s="111" t="s">
        <v>1261</v>
      </c>
      <c r="B316" s="112">
        <v>200000000</v>
      </c>
      <c r="C316" s="111" t="s">
        <v>49</v>
      </c>
      <c r="D316" s="111" t="s">
        <v>89</v>
      </c>
      <c r="E316" s="112">
        <v>198000000</v>
      </c>
      <c r="F316" s="112">
        <f t="shared" si="12"/>
        <v>2000000</v>
      </c>
      <c r="G316" s="112">
        <v>198000000</v>
      </c>
      <c r="H316" s="113">
        <v>100</v>
      </c>
    </row>
    <row r="317" spans="1:8" ht="24.75" thickBot="1" x14ac:dyDescent="0.3">
      <c r="A317" s="111" t="s">
        <v>1262</v>
      </c>
      <c r="B317" s="112">
        <v>65000000</v>
      </c>
      <c r="C317" s="111" t="s">
        <v>49</v>
      </c>
      <c r="D317" s="111" t="s">
        <v>194</v>
      </c>
      <c r="E317" s="112">
        <v>61494000</v>
      </c>
      <c r="F317" s="112">
        <f t="shared" si="12"/>
        <v>3506000</v>
      </c>
      <c r="G317" s="112">
        <v>61494000</v>
      </c>
      <c r="H317" s="113">
        <v>100</v>
      </c>
    </row>
    <row r="318" spans="1:8" ht="24.75" thickBot="1" x14ac:dyDescent="0.3">
      <c r="A318" s="111" t="s">
        <v>1263</v>
      </c>
      <c r="B318" s="112">
        <v>65000000</v>
      </c>
      <c r="C318" s="111" t="s">
        <v>49</v>
      </c>
      <c r="D318" s="111" t="s">
        <v>194</v>
      </c>
      <c r="E318" s="112">
        <v>64546500</v>
      </c>
      <c r="F318" s="112">
        <f t="shared" si="12"/>
        <v>453500</v>
      </c>
      <c r="G318" s="112">
        <v>64546500</v>
      </c>
      <c r="H318" s="113">
        <v>100</v>
      </c>
    </row>
    <row r="319" spans="1:8" ht="24.75" thickBot="1" x14ac:dyDescent="0.3">
      <c r="A319" s="111" t="s">
        <v>1264</v>
      </c>
      <c r="B319" s="112">
        <v>50000000</v>
      </c>
      <c r="C319" s="111" t="s">
        <v>49</v>
      </c>
      <c r="D319" s="111" t="s">
        <v>72</v>
      </c>
      <c r="E319" s="112">
        <v>49500000</v>
      </c>
      <c r="F319" s="112">
        <f t="shared" si="12"/>
        <v>5406000</v>
      </c>
      <c r="G319" s="112">
        <v>44594000</v>
      </c>
      <c r="H319" s="113">
        <v>100</v>
      </c>
    </row>
    <row r="320" spans="1:8" ht="36.75" thickBot="1" x14ac:dyDescent="0.3">
      <c r="A320" s="106" t="s">
        <v>1265</v>
      </c>
      <c r="B320" s="107">
        <v>50000000</v>
      </c>
      <c r="C320" s="108"/>
      <c r="D320" s="108"/>
      <c r="E320" s="109"/>
      <c r="F320" s="107">
        <f t="shared" si="12"/>
        <v>27047250</v>
      </c>
      <c r="G320" s="109">
        <f>SUM(G321)</f>
        <v>22952750</v>
      </c>
      <c r="H320" s="114">
        <f t="shared" ref="H320:H327" si="13">G320/B320*100</f>
        <v>45.905499999999996</v>
      </c>
    </row>
    <row r="321" spans="1:9" ht="12.75" thickBot="1" x14ac:dyDescent="0.3">
      <c r="A321" s="111" t="s">
        <v>18</v>
      </c>
      <c r="B321" s="112">
        <v>50000000</v>
      </c>
      <c r="C321" s="111" t="s">
        <v>19</v>
      </c>
      <c r="D321" s="111" t="s">
        <v>19</v>
      </c>
      <c r="E321" s="112">
        <v>0</v>
      </c>
      <c r="F321" s="112">
        <f t="shared" si="12"/>
        <v>27047250</v>
      </c>
      <c r="G321" s="112">
        <v>22952750</v>
      </c>
      <c r="H321" s="113">
        <f t="shared" si="13"/>
        <v>45.905499999999996</v>
      </c>
    </row>
    <row r="322" spans="1:9" ht="36.75" thickBot="1" x14ac:dyDescent="0.3">
      <c r="A322" s="106" t="s">
        <v>1266</v>
      </c>
      <c r="B322" s="107">
        <v>100000000</v>
      </c>
      <c r="C322" s="108"/>
      <c r="D322" s="108"/>
      <c r="E322" s="109"/>
      <c r="F322" s="107">
        <f t="shared" si="12"/>
        <v>41242500</v>
      </c>
      <c r="G322" s="109">
        <f>SUM(G323:G324)</f>
        <v>58757500</v>
      </c>
      <c r="H322" s="114">
        <f t="shared" si="13"/>
        <v>58.757499999999993</v>
      </c>
    </row>
    <row r="323" spans="1:9" ht="12.75" thickBot="1" x14ac:dyDescent="0.3">
      <c r="A323" s="111" t="s">
        <v>71</v>
      </c>
      <c r="B323" s="112">
        <v>40800000</v>
      </c>
      <c r="C323" s="111" t="s">
        <v>49</v>
      </c>
      <c r="D323" s="111" t="s">
        <v>72</v>
      </c>
      <c r="E323" s="112">
        <v>40800000</v>
      </c>
      <c r="F323" s="112">
        <f t="shared" si="12"/>
        <v>0</v>
      </c>
      <c r="G323" s="112">
        <f>3400000+3400000+3400000+3400000+3400000+3400000+3400000+3400000+3400000+3400000+3400000+3400000</f>
        <v>40800000</v>
      </c>
      <c r="H323" s="113">
        <f t="shared" si="13"/>
        <v>100</v>
      </c>
    </row>
    <row r="324" spans="1:9" ht="12.75" thickBot="1" x14ac:dyDescent="0.3">
      <c r="A324" s="111" t="s">
        <v>73</v>
      </c>
      <c r="B324" s="112">
        <v>59200000</v>
      </c>
      <c r="C324" s="111" t="s">
        <v>19</v>
      </c>
      <c r="D324" s="111" t="s">
        <v>19</v>
      </c>
      <c r="E324" s="112">
        <v>0</v>
      </c>
      <c r="F324" s="112">
        <f t="shared" si="12"/>
        <v>41242500</v>
      </c>
      <c r="G324" s="112">
        <f>5799500+5154500+6277500+726000</f>
        <v>17957500</v>
      </c>
      <c r="H324" s="113">
        <f t="shared" si="13"/>
        <v>30.333614864864867</v>
      </c>
    </row>
    <row r="325" spans="1:9" ht="36.75" thickBot="1" x14ac:dyDescent="0.3">
      <c r="A325" s="106" t="s">
        <v>1267</v>
      </c>
      <c r="B325" s="107">
        <v>75000000</v>
      </c>
      <c r="C325" s="108"/>
      <c r="D325" s="108"/>
      <c r="E325" s="109"/>
      <c r="F325" s="107">
        <f t="shared" si="12"/>
        <v>25958819</v>
      </c>
      <c r="G325" s="109">
        <f>SUM(G326:G327)</f>
        <v>49041181</v>
      </c>
      <c r="H325" s="114">
        <f t="shared" si="13"/>
        <v>65.388241333333326</v>
      </c>
    </row>
    <row r="326" spans="1:9" ht="12.75" thickBot="1" x14ac:dyDescent="0.3">
      <c r="A326" s="111" t="s">
        <v>71</v>
      </c>
      <c r="B326" s="112">
        <v>20400000</v>
      </c>
      <c r="C326" s="111" t="s">
        <v>49</v>
      </c>
      <c r="D326" s="111" t="s">
        <v>72</v>
      </c>
      <c r="E326" s="112">
        <v>20400000</v>
      </c>
      <c r="F326" s="112">
        <f t="shared" si="12"/>
        <v>0</v>
      </c>
      <c r="G326" s="112">
        <f>6800000+1700000+1700000+1700000+1700000+1700000+1700000+1700000+1700000</f>
        <v>20400000</v>
      </c>
      <c r="H326" s="113">
        <f t="shared" si="13"/>
        <v>100</v>
      </c>
    </row>
    <row r="327" spans="1:9" ht="12.75" thickBot="1" x14ac:dyDescent="0.3">
      <c r="A327" s="111" t="s">
        <v>73</v>
      </c>
      <c r="B327" s="112">
        <v>54600000</v>
      </c>
      <c r="C327" s="111" t="s">
        <v>19</v>
      </c>
      <c r="D327" s="111" t="s">
        <v>19</v>
      </c>
      <c r="E327" s="112">
        <v>0</v>
      </c>
      <c r="F327" s="112">
        <f t="shared" si="12"/>
        <v>25958819</v>
      </c>
      <c r="G327" s="112">
        <f>4055000+1923000+5336181+4139000+2533500+10654500</f>
        <v>28641181</v>
      </c>
      <c r="H327" s="113">
        <f t="shared" si="13"/>
        <v>52.45637545787546</v>
      </c>
    </row>
    <row r="328" spans="1:9" ht="24.75" thickBot="1" x14ac:dyDescent="0.3">
      <c r="A328" s="97" t="s">
        <v>439</v>
      </c>
      <c r="B328" s="98">
        <f>SUM(B329)</f>
        <v>6955284000</v>
      </c>
      <c r="C328" s="97"/>
      <c r="D328" s="97"/>
      <c r="E328" s="99">
        <f>SUM(E329)</f>
        <v>0</v>
      </c>
      <c r="F328" s="98">
        <f t="shared" si="12"/>
        <v>1125114872</v>
      </c>
      <c r="G328" s="98">
        <f>SUM(G329)</f>
        <v>5830169128</v>
      </c>
      <c r="H328" s="100">
        <f>H329</f>
        <v>90.987794311345482</v>
      </c>
    </row>
    <row r="329" spans="1:9" ht="24.75" thickBot="1" x14ac:dyDescent="0.3">
      <c r="A329" s="101" t="s">
        <v>441</v>
      </c>
      <c r="B329" s="102">
        <f>B330</f>
        <v>6955284000</v>
      </c>
      <c r="C329" s="103"/>
      <c r="D329" s="103"/>
      <c r="E329" s="104"/>
      <c r="F329" s="102">
        <f t="shared" si="12"/>
        <v>1125114872</v>
      </c>
      <c r="G329" s="102">
        <f>G330</f>
        <v>5830169128</v>
      </c>
      <c r="H329" s="125">
        <f>H330</f>
        <v>90.987794311345482</v>
      </c>
    </row>
    <row r="330" spans="1:9" ht="24.75" thickBot="1" x14ac:dyDescent="0.3">
      <c r="A330" s="106" t="s">
        <v>1268</v>
      </c>
      <c r="B330" s="107">
        <f>SUM(B331:B345)</f>
        <v>6955284000</v>
      </c>
      <c r="C330" s="108"/>
      <c r="D330" s="108"/>
      <c r="E330" s="109"/>
      <c r="F330" s="107">
        <f t="shared" si="12"/>
        <v>1125114872</v>
      </c>
      <c r="G330" s="109">
        <f>SUM(G331:G345)</f>
        <v>5830169128</v>
      </c>
      <c r="H330" s="114">
        <f>AVERAGE(H331:H345)</f>
        <v>90.987794311345482</v>
      </c>
      <c r="I330" s="81">
        <f>295163674-G330</f>
        <v>-5535005454</v>
      </c>
    </row>
    <row r="331" spans="1:9" ht="24.75" thickBot="1" x14ac:dyDescent="0.3">
      <c r="A331" s="111" t="s">
        <v>1269</v>
      </c>
      <c r="B331" s="112">
        <v>99074000</v>
      </c>
      <c r="C331" s="111" t="s">
        <v>49</v>
      </c>
      <c r="D331" s="111" t="s">
        <v>194</v>
      </c>
      <c r="E331" s="112">
        <v>99074000</v>
      </c>
      <c r="F331" s="112">
        <f t="shared" si="12"/>
        <v>19814800</v>
      </c>
      <c r="G331" s="112">
        <v>79259200</v>
      </c>
      <c r="H331" s="113">
        <f>G331/B331*100</f>
        <v>80</v>
      </c>
    </row>
    <row r="332" spans="1:9" ht="24.75" thickBot="1" x14ac:dyDescent="0.3">
      <c r="A332" s="111" t="s">
        <v>1270</v>
      </c>
      <c r="B332" s="112">
        <v>166630000</v>
      </c>
      <c r="C332" s="111" t="s">
        <v>49</v>
      </c>
      <c r="D332" s="111" t="s">
        <v>194</v>
      </c>
      <c r="E332" s="112">
        <v>161500000</v>
      </c>
      <c r="F332" s="112">
        <f t="shared" si="12"/>
        <v>57617500</v>
      </c>
      <c r="G332" s="112">
        <v>109012500</v>
      </c>
      <c r="H332" s="113">
        <v>95.64</v>
      </c>
    </row>
    <row r="333" spans="1:9" ht="12.75" thickBot="1" x14ac:dyDescent="0.3">
      <c r="A333" s="111" t="s">
        <v>1271</v>
      </c>
      <c r="B333" s="112">
        <v>4000000000</v>
      </c>
      <c r="C333" s="111" t="s">
        <v>49</v>
      </c>
      <c r="D333" s="111" t="s">
        <v>89</v>
      </c>
      <c r="E333" s="112">
        <v>3307305000</v>
      </c>
      <c r="F333" s="112">
        <f t="shared" si="12"/>
        <v>846770450</v>
      </c>
      <c r="G333" s="112">
        <f>276408200+1447888350+1428933000</f>
        <v>3153229550</v>
      </c>
      <c r="H333" s="113">
        <v>95.64</v>
      </c>
    </row>
    <row r="334" spans="1:9" ht="12.75" thickBot="1" x14ac:dyDescent="0.3">
      <c r="A334" s="111" t="s">
        <v>1272</v>
      </c>
      <c r="B334" s="112">
        <v>99025000</v>
      </c>
      <c r="C334" s="111" t="s">
        <v>49</v>
      </c>
      <c r="D334" s="111" t="s">
        <v>194</v>
      </c>
      <c r="E334" s="112">
        <v>99025000</v>
      </c>
      <c r="F334" s="112">
        <f t="shared" si="12"/>
        <v>0</v>
      </c>
      <c r="G334" s="112">
        <f>79220000+19805000</f>
        <v>99025000</v>
      </c>
      <c r="H334" s="113">
        <v>100</v>
      </c>
    </row>
    <row r="335" spans="1:9" ht="12.75" thickBot="1" x14ac:dyDescent="0.3">
      <c r="A335" s="111" t="s">
        <v>1273</v>
      </c>
      <c r="B335" s="112">
        <v>74037000</v>
      </c>
      <c r="C335" s="111" t="s">
        <v>49</v>
      </c>
      <c r="D335" s="111" t="s">
        <v>194</v>
      </c>
      <c r="E335" s="112">
        <v>74037000</v>
      </c>
      <c r="F335" s="112">
        <f t="shared" si="12"/>
        <v>0</v>
      </c>
      <c r="G335" s="112">
        <v>74037000</v>
      </c>
      <c r="H335" s="113">
        <v>100</v>
      </c>
    </row>
    <row r="336" spans="1:9" ht="12.75" thickBot="1" x14ac:dyDescent="0.3">
      <c r="A336" s="111" t="s">
        <v>1274</v>
      </c>
      <c r="B336" s="112">
        <v>1350000000</v>
      </c>
      <c r="C336" s="111" t="s">
        <v>49</v>
      </c>
      <c r="D336" s="111" t="s">
        <v>89</v>
      </c>
      <c r="E336" s="112">
        <v>1080000000</v>
      </c>
      <c r="F336" s="112">
        <f t="shared" si="12"/>
        <v>162000000</v>
      </c>
      <c r="G336" s="112">
        <f>270000000+270000000+648000000</f>
        <v>1188000000</v>
      </c>
      <c r="H336" s="113">
        <v>100</v>
      </c>
    </row>
    <row r="337" spans="1:10" ht="24.75" thickBot="1" x14ac:dyDescent="0.3">
      <c r="A337" s="111" t="s">
        <v>1275</v>
      </c>
      <c r="B337" s="112">
        <v>88245000</v>
      </c>
      <c r="C337" s="111" t="s">
        <v>49</v>
      </c>
      <c r="D337" s="111" t="s">
        <v>194</v>
      </c>
      <c r="E337" s="112">
        <v>88245000</v>
      </c>
      <c r="F337" s="112">
        <f t="shared" si="12"/>
        <v>0</v>
      </c>
      <c r="G337" s="112">
        <v>88245000</v>
      </c>
      <c r="H337" s="113">
        <v>100</v>
      </c>
    </row>
    <row r="338" spans="1:10" ht="12.75" thickBot="1" x14ac:dyDescent="0.3">
      <c r="A338" s="111" t="s">
        <v>1276</v>
      </c>
      <c r="B338" s="112">
        <v>88800000</v>
      </c>
      <c r="C338" s="111" t="s">
        <v>49</v>
      </c>
      <c r="D338" s="111" t="s">
        <v>194</v>
      </c>
      <c r="E338" s="112">
        <v>88800000</v>
      </c>
      <c r="F338" s="112">
        <f t="shared" si="12"/>
        <v>0</v>
      </c>
      <c r="G338" s="112">
        <v>88800000</v>
      </c>
      <c r="H338" s="113">
        <v>100</v>
      </c>
    </row>
    <row r="339" spans="1:10" ht="24.75" thickBot="1" x14ac:dyDescent="0.3">
      <c r="A339" s="111" t="s">
        <v>1277</v>
      </c>
      <c r="B339" s="112">
        <v>8000000</v>
      </c>
      <c r="C339" s="111" t="s">
        <v>49</v>
      </c>
      <c r="D339" s="111" t="s">
        <v>194</v>
      </c>
      <c r="E339" s="112">
        <v>7825000</v>
      </c>
      <c r="F339" s="112">
        <f t="shared" si="12"/>
        <v>175000</v>
      </c>
      <c r="G339" s="112">
        <v>7825000</v>
      </c>
      <c r="H339" s="113">
        <v>100</v>
      </c>
    </row>
    <row r="340" spans="1:10" ht="24.75" thickBot="1" x14ac:dyDescent="0.3">
      <c r="A340" s="111" t="s">
        <v>1278</v>
      </c>
      <c r="B340" s="112">
        <v>10000000</v>
      </c>
      <c r="C340" s="111" t="s">
        <v>49</v>
      </c>
      <c r="D340" s="111" t="s">
        <v>194</v>
      </c>
      <c r="E340" s="112">
        <v>9805000</v>
      </c>
      <c r="F340" s="112">
        <f t="shared" si="12"/>
        <v>195000</v>
      </c>
      <c r="G340" s="112">
        <v>9805000</v>
      </c>
      <c r="H340" s="113">
        <v>100</v>
      </c>
    </row>
    <row r="341" spans="1:10" ht="12.75" thickBot="1" x14ac:dyDescent="0.3">
      <c r="A341" s="111" t="s">
        <v>1279</v>
      </c>
      <c r="B341" s="112">
        <v>196548000</v>
      </c>
      <c r="C341" s="111" t="s">
        <v>49</v>
      </c>
      <c r="D341" s="111" t="s">
        <v>89</v>
      </c>
      <c r="E341" s="112">
        <v>196548000</v>
      </c>
      <c r="F341" s="112">
        <f t="shared" si="12"/>
        <v>0</v>
      </c>
      <c r="G341" s="112">
        <v>196548000</v>
      </c>
      <c r="H341" s="113">
        <v>100</v>
      </c>
    </row>
    <row r="342" spans="1:10" ht="12.75" thickBot="1" x14ac:dyDescent="0.3">
      <c r="A342" s="111" t="s">
        <v>1280</v>
      </c>
      <c r="B342" s="112">
        <v>549925000</v>
      </c>
      <c r="C342" s="111" t="s">
        <v>19</v>
      </c>
      <c r="D342" s="111" t="s">
        <v>19</v>
      </c>
      <c r="E342" s="112">
        <v>0</v>
      </c>
      <c r="F342" s="112">
        <f t="shared" si="12"/>
        <v>35542122</v>
      </c>
      <c r="G342" s="112">
        <f>54458997+14705000+50155977+17364500+25123000+144750000+225455404-17630000</f>
        <v>514382878</v>
      </c>
      <c r="H342" s="113">
        <f>G342/B342*100</f>
        <v>93.536914670182298</v>
      </c>
    </row>
    <row r="343" spans="1:10" ht="24.75" thickBot="1" x14ac:dyDescent="0.3">
      <c r="A343" s="111" t="s">
        <v>1281</v>
      </c>
      <c r="B343" s="112">
        <v>75000000</v>
      </c>
      <c r="C343" s="111" t="s">
        <v>49</v>
      </c>
      <c r="D343" s="111" t="s">
        <v>194</v>
      </c>
      <c r="E343" s="112">
        <v>74536500</v>
      </c>
      <c r="F343" s="112">
        <f t="shared" si="12"/>
        <v>463500</v>
      </c>
      <c r="G343" s="112">
        <v>74536500</v>
      </c>
      <c r="H343" s="113">
        <v>0</v>
      </c>
    </row>
    <row r="344" spans="1:10" ht="24.75" thickBot="1" x14ac:dyDescent="0.3">
      <c r="A344" s="111" t="s">
        <v>1282</v>
      </c>
      <c r="B344" s="112">
        <v>90000000</v>
      </c>
      <c r="C344" s="111" t="s">
        <v>49</v>
      </c>
      <c r="D344" s="111" t="s">
        <v>194</v>
      </c>
      <c r="E344" s="112">
        <v>87912000</v>
      </c>
      <c r="F344" s="112">
        <f t="shared" si="12"/>
        <v>2088000</v>
      </c>
      <c r="G344" s="112">
        <v>87912000</v>
      </c>
      <c r="H344" s="113">
        <v>100</v>
      </c>
    </row>
    <row r="345" spans="1:10" s="131" customFormat="1" ht="24.75" thickBot="1" x14ac:dyDescent="0.3">
      <c r="A345" s="121" t="s">
        <v>1283</v>
      </c>
      <c r="B345" s="122">
        <v>60000000</v>
      </c>
      <c r="C345" s="121" t="s">
        <v>49</v>
      </c>
      <c r="D345" s="121" t="s">
        <v>194</v>
      </c>
      <c r="E345" s="112">
        <v>59551500</v>
      </c>
      <c r="F345" s="112">
        <f t="shared" si="12"/>
        <v>448500</v>
      </c>
      <c r="G345" s="112">
        <v>59551500</v>
      </c>
      <c r="H345" s="113">
        <v>100</v>
      </c>
      <c r="I345" s="130"/>
      <c r="J345" s="130"/>
    </row>
    <row r="346" spans="1:10" ht="12.75" thickBot="1" x14ac:dyDescent="0.3">
      <c r="A346" s="97" t="s">
        <v>466</v>
      </c>
      <c r="B346" s="98">
        <f>SUM(B347)</f>
        <v>108825540000</v>
      </c>
      <c r="C346" s="97"/>
      <c r="D346" s="97"/>
      <c r="E346" s="99"/>
      <c r="F346" s="98">
        <f t="shared" si="12"/>
        <v>1365365748</v>
      </c>
      <c r="G346" s="98">
        <f>SUM(G347)</f>
        <v>107460174252</v>
      </c>
      <c r="H346" s="100">
        <f>H347</f>
        <v>99.346972501893916</v>
      </c>
    </row>
    <row r="347" spans="1:10" ht="12.75" thickBot="1" x14ac:dyDescent="0.3">
      <c r="A347" s="101" t="s">
        <v>468</v>
      </c>
      <c r="B347" s="102">
        <f>SUM(B348,B356,B440,B452,B489,B492,B686,B753,B763,B768)</f>
        <v>108825540000</v>
      </c>
      <c r="C347" s="103"/>
      <c r="D347" s="103"/>
      <c r="E347" s="104"/>
      <c r="F347" s="102">
        <f t="shared" si="12"/>
        <v>1365365748</v>
      </c>
      <c r="G347" s="102">
        <f>SUM(G348,G356,G440,G452,G489,G492,G686,G753,G763,G768)</f>
        <v>107460174252</v>
      </c>
      <c r="H347" s="125">
        <f>AVERAGE(H348,H356,H440,H452,H489,H492,H686,H753,H763,H768)</f>
        <v>99.346972501893916</v>
      </c>
    </row>
    <row r="348" spans="1:10" ht="48.75" thickBot="1" x14ac:dyDescent="0.3">
      <c r="A348" s="106" t="s">
        <v>1284</v>
      </c>
      <c r="B348" s="107">
        <f>SUM(B349:B355)</f>
        <v>225000000</v>
      </c>
      <c r="C348" s="108"/>
      <c r="D348" s="108"/>
      <c r="E348" s="109"/>
      <c r="F348" s="107">
        <f t="shared" si="12"/>
        <v>1928850</v>
      </c>
      <c r="G348" s="109">
        <f>SUM(G349:G355)</f>
        <v>223071150</v>
      </c>
      <c r="H348" s="114">
        <f>AVERAGE(H349:H355)</f>
        <v>100</v>
      </c>
      <c r="I348" s="81">
        <f>17851221414-G348</f>
        <v>17628150264</v>
      </c>
    </row>
    <row r="349" spans="1:10" s="3" customFormat="1" ht="24.75" thickBot="1" x14ac:dyDescent="0.3">
      <c r="A349" s="111" t="s">
        <v>1285</v>
      </c>
      <c r="B349" s="112">
        <v>35000000</v>
      </c>
      <c r="C349" s="111" t="s">
        <v>49</v>
      </c>
      <c r="D349" s="111" t="s">
        <v>194</v>
      </c>
      <c r="E349" s="112">
        <v>34543200</v>
      </c>
      <c r="F349" s="112">
        <v>35000000</v>
      </c>
      <c r="G349" s="112">
        <v>34543200</v>
      </c>
      <c r="H349" s="113">
        <v>100</v>
      </c>
    </row>
    <row r="350" spans="1:10" s="3" customFormat="1" ht="24.75" thickBot="1" x14ac:dyDescent="0.3">
      <c r="A350" s="111" t="s">
        <v>1286</v>
      </c>
      <c r="B350" s="112">
        <v>60000000</v>
      </c>
      <c r="C350" s="111" t="s">
        <v>49</v>
      </c>
      <c r="D350" s="111" t="s">
        <v>194</v>
      </c>
      <c r="E350" s="112">
        <v>59274000</v>
      </c>
      <c r="F350" s="112">
        <v>60000000</v>
      </c>
      <c r="G350" s="112">
        <v>59274000</v>
      </c>
      <c r="H350" s="113">
        <v>100</v>
      </c>
    </row>
    <row r="351" spans="1:10" s="3" customFormat="1" ht="24.75" thickBot="1" x14ac:dyDescent="0.3">
      <c r="A351" s="111" t="s">
        <v>1287</v>
      </c>
      <c r="B351" s="112">
        <v>25000000</v>
      </c>
      <c r="C351" s="111" t="s">
        <v>49</v>
      </c>
      <c r="D351" s="111" t="s">
        <v>194</v>
      </c>
      <c r="E351" s="112">
        <v>24897300</v>
      </c>
      <c r="F351" s="112">
        <v>25000000</v>
      </c>
      <c r="G351" s="112">
        <v>24897300</v>
      </c>
      <c r="H351" s="113">
        <v>100</v>
      </c>
    </row>
    <row r="352" spans="1:10" s="3" customFormat="1" ht="24.75" thickBot="1" x14ac:dyDescent="0.3">
      <c r="A352" s="111" t="s">
        <v>1288</v>
      </c>
      <c r="B352" s="112">
        <v>30000000</v>
      </c>
      <c r="C352" s="111" t="s">
        <v>49</v>
      </c>
      <c r="D352" s="111" t="s">
        <v>194</v>
      </c>
      <c r="E352" s="112">
        <v>29814600</v>
      </c>
      <c r="F352" s="112">
        <v>30000000</v>
      </c>
      <c r="G352" s="112">
        <v>29814600</v>
      </c>
      <c r="H352" s="113">
        <v>100</v>
      </c>
    </row>
    <row r="353" spans="1:9" s="3" customFormat="1" ht="24.75" thickBot="1" x14ac:dyDescent="0.3">
      <c r="A353" s="111" t="s">
        <v>1289</v>
      </c>
      <c r="B353" s="112">
        <v>25000000</v>
      </c>
      <c r="C353" s="111" t="s">
        <v>49</v>
      </c>
      <c r="D353" s="111" t="s">
        <v>194</v>
      </c>
      <c r="E353" s="112">
        <v>24830700</v>
      </c>
      <c r="F353" s="112">
        <v>25000000</v>
      </c>
      <c r="G353" s="112">
        <v>24830700</v>
      </c>
      <c r="H353" s="113">
        <v>100</v>
      </c>
    </row>
    <row r="354" spans="1:9" s="3" customFormat="1" ht="24.75" thickBot="1" x14ac:dyDescent="0.3">
      <c r="A354" s="111" t="s">
        <v>1290</v>
      </c>
      <c r="B354" s="112">
        <v>25000000</v>
      </c>
      <c r="C354" s="111" t="s">
        <v>49</v>
      </c>
      <c r="D354" s="111" t="s">
        <v>194</v>
      </c>
      <c r="E354" s="112">
        <v>24841800</v>
      </c>
      <c r="F354" s="112">
        <v>25000000</v>
      </c>
      <c r="G354" s="112">
        <v>24841800</v>
      </c>
      <c r="H354" s="113">
        <v>100</v>
      </c>
    </row>
    <row r="355" spans="1:9" s="3" customFormat="1" ht="24.75" thickBot="1" x14ac:dyDescent="0.3">
      <c r="A355" s="111" t="s">
        <v>1291</v>
      </c>
      <c r="B355" s="112">
        <v>25000000</v>
      </c>
      <c r="C355" s="111" t="s">
        <v>49</v>
      </c>
      <c r="D355" s="111" t="s">
        <v>194</v>
      </c>
      <c r="E355" s="112">
        <v>24869550</v>
      </c>
      <c r="F355" s="112">
        <v>25000000</v>
      </c>
      <c r="G355" s="112">
        <v>24869550</v>
      </c>
      <c r="H355" s="113">
        <v>100</v>
      </c>
    </row>
    <row r="356" spans="1:9" ht="24.75" thickBot="1" x14ac:dyDescent="0.3">
      <c r="A356" s="106" t="s">
        <v>1292</v>
      </c>
      <c r="B356" s="107">
        <f>SUM(B357:B439)</f>
        <v>40857456000</v>
      </c>
      <c r="C356" s="107"/>
      <c r="D356" s="107"/>
      <c r="E356" s="107"/>
      <c r="F356" s="107">
        <f>SUM(F357:F439)</f>
        <v>227868326.00000906</v>
      </c>
      <c r="G356" s="107">
        <f>SUM(G357:G439)</f>
        <v>40629587674</v>
      </c>
      <c r="H356" s="114">
        <f>AVERAGE(H357:H439)</f>
        <v>99.73605914117995</v>
      </c>
      <c r="I356" s="81">
        <f>17851221414-G356</f>
        <v>-22778366260</v>
      </c>
    </row>
    <row r="357" spans="1:9" ht="12.75" thickBot="1" x14ac:dyDescent="0.3">
      <c r="A357" s="111" t="s">
        <v>1293</v>
      </c>
      <c r="B357" s="112">
        <v>2378990664</v>
      </c>
      <c r="C357" s="111" t="s">
        <v>49</v>
      </c>
      <c r="D357" s="111" t="s">
        <v>89</v>
      </c>
      <c r="E357" s="112">
        <v>2378816750</v>
      </c>
      <c r="F357" s="112">
        <f t="shared" ref="F357:F420" si="14">B357-G357</f>
        <v>173914</v>
      </c>
      <c r="G357" s="112">
        <f>713645025+832585862+832585863</f>
        <v>2378816750</v>
      </c>
      <c r="H357" s="113">
        <v>100</v>
      </c>
    </row>
    <row r="358" spans="1:9" ht="12.75" thickBot="1" x14ac:dyDescent="0.3">
      <c r="A358" s="111" t="s">
        <v>1294</v>
      </c>
      <c r="B358" s="112">
        <v>1968987282.5999999</v>
      </c>
      <c r="C358" s="111" t="s">
        <v>49</v>
      </c>
      <c r="D358" s="111" t="s">
        <v>89</v>
      </c>
      <c r="E358" s="112">
        <v>1968837650</v>
      </c>
      <c r="F358" s="112">
        <f t="shared" si="14"/>
        <v>149632.59999990463</v>
      </c>
      <c r="G358" s="112">
        <f>590651295+1378186355</f>
        <v>1968837650</v>
      </c>
      <c r="H358" s="113">
        <v>100</v>
      </c>
    </row>
    <row r="359" spans="1:9" ht="12.75" thickBot="1" x14ac:dyDescent="0.3">
      <c r="A359" s="111" t="s">
        <v>1295</v>
      </c>
      <c r="B359" s="112">
        <v>3853985661.1999998</v>
      </c>
      <c r="C359" s="111" t="s">
        <v>49</v>
      </c>
      <c r="D359" s="111" t="s">
        <v>89</v>
      </c>
      <c r="E359" s="112">
        <v>3853568900</v>
      </c>
      <c r="F359" s="112">
        <f t="shared" si="14"/>
        <v>416761.19999980927</v>
      </c>
      <c r="G359" s="112">
        <f>1156070670+2697498230</f>
        <v>3853568900</v>
      </c>
      <c r="H359" s="113">
        <v>100</v>
      </c>
    </row>
    <row r="360" spans="1:9" ht="12.75" thickBot="1" x14ac:dyDescent="0.3">
      <c r="A360" s="111" t="s">
        <v>1296</v>
      </c>
      <c r="B360" s="112">
        <v>2761995709.8000002</v>
      </c>
      <c r="C360" s="111" t="s">
        <v>49</v>
      </c>
      <c r="D360" s="111" t="s">
        <v>89</v>
      </c>
      <c r="E360" s="112">
        <v>2761285750</v>
      </c>
      <c r="F360" s="112">
        <f t="shared" si="14"/>
        <v>709959.80000019073</v>
      </c>
      <c r="G360" s="112">
        <f>828385725+966450012+966450013</f>
        <v>2761285750</v>
      </c>
      <c r="H360" s="113">
        <v>100</v>
      </c>
    </row>
    <row r="361" spans="1:9" ht="24.75" thickBot="1" x14ac:dyDescent="0.3">
      <c r="A361" s="111" t="s">
        <v>1297</v>
      </c>
      <c r="B361" s="112">
        <v>199000000</v>
      </c>
      <c r="C361" s="111" t="s">
        <v>49</v>
      </c>
      <c r="D361" s="111" t="s">
        <v>89</v>
      </c>
      <c r="E361" s="112">
        <v>197958000</v>
      </c>
      <c r="F361" s="112">
        <f t="shared" si="14"/>
        <v>1042000</v>
      </c>
      <c r="G361" s="112">
        <v>197958000</v>
      </c>
      <c r="H361" s="113">
        <v>100</v>
      </c>
    </row>
    <row r="362" spans="1:9" ht="24.75" thickBot="1" x14ac:dyDescent="0.3">
      <c r="A362" s="111" t="s">
        <v>1298</v>
      </c>
      <c r="B362" s="112">
        <v>199000000</v>
      </c>
      <c r="C362" s="111" t="s">
        <v>49</v>
      </c>
      <c r="D362" s="111" t="s">
        <v>89</v>
      </c>
      <c r="E362" s="112">
        <v>194860000</v>
      </c>
      <c r="F362" s="112">
        <f t="shared" si="14"/>
        <v>4140000</v>
      </c>
      <c r="G362" s="112">
        <v>194860000</v>
      </c>
      <c r="H362" s="113">
        <v>100</v>
      </c>
    </row>
    <row r="363" spans="1:9" ht="24.75" thickBot="1" x14ac:dyDescent="0.3">
      <c r="A363" s="111" t="s">
        <v>1299</v>
      </c>
      <c r="B363" s="112">
        <v>195000000</v>
      </c>
      <c r="C363" s="111" t="s">
        <v>49</v>
      </c>
      <c r="D363" s="111" t="s">
        <v>89</v>
      </c>
      <c r="E363" s="112">
        <v>194860000</v>
      </c>
      <c r="F363" s="112">
        <f t="shared" si="14"/>
        <v>140000</v>
      </c>
      <c r="G363" s="112">
        <v>194860000</v>
      </c>
      <c r="H363" s="113">
        <v>100</v>
      </c>
    </row>
    <row r="364" spans="1:9" ht="24.75" thickBot="1" x14ac:dyDescent="0.3">
      <c r="A364" s="111" t="s">
        <v>1300</v>
      </c>
      <c r="B364" s="112">
        <v>199000000</v>
      </c>
      <c r="C364" s="111" t="s">
        <v>49</v>
      </c>
      <c r="D364" s="111" t="s">
        <v>89</v>
      </c>
      <c r="E364" s="112">
        <v>197147000</v>
      </c>
      <c r="F364" s="112">
        <f t="shared" si="14"/>
        <v>1853000</v>
      </c>
      <c r="G364" s="112">
        <v>197147000</v>
      </c>
      <c r="H364" s="113">
        <v>100</v>
      </c>
    </row>
    <row r="365" spans="1:9" ht="24.75" thickBot="1" x14ac:dyDescent="0.3">
      <c r="A365" s="111" t="s">
        <v>1301</v>
      </c>
      <c r="B365" s="112">
        <v>197000000</v>
      </c>
      <c r="C365" s="111" t="s">
        <v>49</v>
      </c>
      <c r="D365" s="111" t="s">
        <v>89</v>
      </c>
      <c r="E365" s="112">
        <v>196896000</v>
      </c>
      <c r="F365" s="112">
        <f t="shared" si="14"/>
        <v>104000</v>
      </c>
      <c r="G365" s="112">
        <v>196896000</v>
      </c>
      <c r="H365" s="113">
        <v>100</v>
      </c>
    </row>
    <row r="366" spans="1:9" ht="24.75" thickBot="1" x14ac:dyDescent="0.3">
      <c r="A366" s="111" t="s">
        <v>1302</v>
      </c>
      <c r="B366" s="112">
        <v>197000000</v>
      </c>
      <c r="C366" s="111" t="s">
        <v>49</v>
      </c>
      <c r="D366" s="111" t="s">
        <v>89</v>
      </c>
      <c r="E366" s="112">
        <v>196957000</v>
      </c>
      <c r="F366" s="112">
        <f t="shared" si="14"/>
        <v>43000</v>
      </c>
      <c r="G366" s="112">
        <v>196957000</v>
      </c>
      <c r="H366" s="113">
        <v>100</v>
      </c>
    </row>
    <row r="367" spans="1:9" ht="24.75" thickBot="1" x14ac:dyDescent="0.3">
      <c r="A367" s="111" t="s">
        <v>1303</v>
      </c>
      <c r="B367" s="112">
        <v>197000000</v>
      </c>
      <c r="C367" s="111" t="s">
        <v>49</v>
      </c>
      <c r="D367" s="111" t="s">
        <v>89</v>
      </c>
      <c r="E367" s="112">
        <v>196194000</v>
      </c>
      <c r="F367" s="112">
        <f t="shared" si="14"/>
        <v>806000</v>
      </c>
      <c r="G367" s="112">
        <v>196194000</v>
      </c>
      <c r="H367" s="113">
        <v>100</v>
      </c>
    </row>
    <row r="368" spans="1:9" ht="12.75" thickBot="1" x14ac:dyDescent="0.3">
      <c r="A368" s="111" t="s">
        <v>1304</v>
      </c>
      <c r="B368" s="112">
        <v>198000000</v>
      </c>
      <c r="C368" s="111" t="s">
        <v>49</v>
      </c>
      <c r="D368" s="111" t="s">
        <v>89</v>
      </c>
      <c r="E368" s="112">
        <v>197134000</v>
      </c>
      <c r="F368" s="112">
        <f t="shared" si="14"/>
        <v>866000</v>
      </c>
      <c r="G368" s="112">
        <v>197134000</v>
      </c>
      <c r="H368" s="113">
        <v>100</v>
      </c>
    </row>
    <row r="369" spans="1:8" ht="24.75" thickBot="1" x14ac:dyDescent="0.3">
      <c r="A369" s="111" t="s">
        <v>1305</v>
      </c>
      <c r="B369" s="112">
        <v>198000000</v>
      </c>
      <c r="C369" s="111" t="s">
        <v>49</v>
      </c>
      <c r="D369" s="111" t="s">
        <v>89</v>
      </c>
      <c r="E369" s="112">
        <v>197185000</v>
      </c>
      <c r="F369" s="112">
        <f t="shared" si="14"/>
        <v>815000</v>
      </c>
      <c r="G369" s="112">
        <v>197185000</v>
      </c>
      <c r="H369" s="113">
        <v>100</v>
      </c>
    </row>
    <row r="370" spans="1:8" ht="24.75" thickBot="1" x14ac:dyDescent="0.3">
      <c r="A370" s="111" t="s">
        <v>1306</v>
      </c>
      <c r="B370" s="112">
        <v>198000000</v>
      </c>
      <c r="C370" s="111" t="s">
        <v>49</v>
      </c>
      <c r="D370" s="111" t="s">
        <v>89</v>
      </c>
      <c r="E370" s="112">
        <v>197410000</v>
      </c>
      <c r="F370" s="112">
        <f t="shared" si="14"/>
        <v>590000</v>
      </c>
      <c r="G370" s="112">
        <v>197410000</v>
      </c>
      <c r="H370" s="113">
        <v>100</v>
      </c>
    </row>
    <row r="371" spans="1:8" ht="12.75" thickBot="1" x14ac:dyDescent="0.3">
      <c r="A371" s="111" t="s">
        <v>1307</v>
      </c>
      <c r="B371" s="112">
        <v>197000000</v>
      </c>
      <c r="C371" s="111" t="s">
        <v>49</v>
      </c>
      <c r="D371" s="111" t="s">
        <v>89</v>
      </c>
      <c r="E371" s="112">
        <v>196963000</v>
      </c>
      <c r="F371" s="112">
        <f t="shared" si="14"/>
        <v>37000</v>
      </c>
      <c r="G371" s="112">
        <v>196963000</v>
      </c>
      <c r="H371" s="113">
        <v>100</v>
      </c>
    </row>
    <row r="372" spans="1:8" ht="24.75" thickBot="1" x14ac:dyDescent="0.3">
      <c r="A372" s="111" t="s">
        <v>1308</v>
      </c>
      <c r="B372" s="112">
        <v>149000000</v>
      </c>
      <c r="C372" s="111" t="s">
        <v>49</v>
      </c>
      <c r="D372" s="111" t="s">
        <v>89</v>
      </c>
      <c r="E372" s="112">
        <v>148876000</v>
      </c>
      <c r="F372" s="112">
        <f t="shared" si="14"/>
        <v>124000</v>
      </c>
      <c r="G372" s="112">
        <v>148876000</v>
      </c>
      <c r="H372" s="113">
        <v>100</v>
      </c>
    </row>
    <row r="373" spans="1:8" ht="12.75" thickBot="1" x14ac:dyDescent="0.3">
      <c r="A373" s="111" t="s">
        <v>1309</v>
      </c>
      <c r="B373" s="112">
        <v>193000000</v>
      </c>
      <c r="C373" s="111" t="s">
        <v>49</v>
      </c>
      <c r="D373" s="111" t="s">
        <v>89</v>
      </c>
      <c r="E373" s="112">
        <v>192517000</v>
      </c>
      <c r="F373" s="112">
        <f t="shared" si="14"/>
        <v>483000</v>
      </c>
      <c r="G373" s="112">
        <v>192517000</v>
      </c>
      <c r="H373" s="113">
        <v>100</v>
      </c>
    </row>
    <row r="374" spans="1:8" ht="12.75" thickBot="1" x14ac:dyDescent="0.3">
      <c r="A374" s="111" t="s">
        <v>1310</v>
      </c>
      <c r="B374" s="112">
        <v>194000000</v>
      </c>
      <c r="C374" s="111" t="s">
        <v>49</v>
      </c>
      <c r="D374" s="111" t="s">
        <v>89</v>
      </c>
      <c r="E374" s="112">
        <v>193046000</v>
      </c>
      <c r="F374" s="112">
        <f t="shared" si="14"/>
        <v>954000</v>
      </c>
      <c r="G374" s="112">
        <v>193046000</v>
      </c>
      <c r="H374" s="113">
        <v>100</v>
      </c>
    </row>
    <row r="375" spans="1:8" ht="12.75" thickBot="1" x14ac:dyDescent="0.3">
      <c r="A375" s="111" t="s">
        <v>1311</v>
      </c>
      <c r="B375" s="112">
        <v>193000000</v>
      </c>
      <c r="C375" s="111" t="s">
        <v>49</v>
      </c>
      <c r="D375" s="111" t="s">
        <v>89</v>
      </c>
      <c r="E375" s="112">
        <v>192956000</v>
      </c>
      <c r="F375" s="112">
        <f t="shared" si="14"/>
        <v>44000</v>
      </c>
      <c r="G375" s="112">
        <v>192956000</v>
      </c>
      <c r="H375" s="113">
        <v>100</v>
      </c>
    </row>
    <row r="376" spans="1:8" ht="12.75" thickBot="1" x14ac:dyDescent="0.3">
      <c r="A376" s="111" t="s">
        <v>1312</v>
      </c>
      <c r="B376" s="112">
        <v>192000000</v>
      </c>
      <c r="C376" s="111" t="s">
        <v>49</v>
      </c>
      <c r="D376" s="111" t="s">
        <v>89</v>
      </c>
      <c r="E376" s="112">
        <v>191829400</v>
      </c>
      <c r="F376" s="112">
        <f t="shared" si="14"/>
        <v>170600</v>
      </c>
      <c r="G376" s="112">
        <v>191829400</v>
      </c>
      <c r="H376" s="113">
        <v>100</v>
      </c>
    </row>
    <row r="377" spans="1:8" ht="12.75" thickBot="1" x14ac:dyDescent="0.3">
      <c r="A377" s="111" t="s">
        <v>1313</v>
      </c>
      <c r="B377" s="112">
        <v>192000000</v>
      </c>
      <c r="C377" s="111" t="s">
        <v>49</v>
      </c>
      <c r="D377" s="111" t="s">
        <v>89</v>
      </c>
      <c r="E377" s="112">
        <v>191765300</v>
      </c>
      <c r="F377" s="112">
        <f t="shared" si="14"/>
        <v>234700</v>
      </c>
      <c r="G377" s="112">
        <v>191765300</v>
      </c>
      <c r="H377" s="113">
        <v>100</v>
      </c>
    </row>
    <row r="378" spans="1:8" ht="12.75" thickBot="1" x14ac:dyDescent="0.3">
      <c r="A378" s="111" t="s">
        <v>1314</v>
      </c>
      <c r="B378" s="112">
        <v>193000000</v>
      </c>
      <c r="C378" s="111" t="s">
        <v>49</v>
      </c>
      <c r="D378" s="111" t="s">
        <v>89</v>
      </c>
      <c r="E378" s="112">
        <v>192967000</v>
      </c>
      <c r="F378" s="112">
        <f t="shared" si="14"/>
        <v>33000</v>
      </c>
      <c r="G378" s="112">
        <v>192967000</v>
      </c>
      <c r="H378" s="113">
        <v>100</v>
      </c>
    </row>
    <row r="379" spans="1:8" ht="12.75" thickBot="1" x14ac:dyDescent="0.3">
      <c r="A379" s="111" t="s">
        <v>1315</v>
      </c>
      <c r="B379" s="112">
        <v>192000000</v>
      </c>
      <c r="C379" s="111" t="s">
        <v>49</v>
      </c>
      <c r="D379" s="111" t="s">
        <v>89</v>
      </c>
      <c r="E379" s="112">
        <v>191865200</v>
      </c>
      <c r="F379" s="112">
        <f t="shared" si="14"/>
        <v>134800</v>
      </c>
      <c r="G379" s="112">
        <v>191865200</v>
      </c>
      <c r="H379" s="113">
        <v>100</v>
      </c>
    </row>
    <row r="380" spans="1:8" ht="12.75" thickBot="1" x14ac:dyDescent="0.3">
      <c r="A380" s="111" t="s">
        <v>1316</v>
      </c>
      <c r="B380" s="112">
        <v>192000000</v>
      </c>
      <c r="C380" s="111" t="s">
        <v>49</v>
      </c>
      <c r="D380" s="111" t="s">
        <v>89</v>
      </c>
      <c r="E380" s="112">
        <v>191901900</v>
      </c>
      <c r="F380" s="112">
        <f t="shared" si="14"/>
        <v>98100</v>
      </c>
      <c r="G380" s="112">
        <v>191901900</v>
      </c>
      <c r="H380" s="113">
        <v>100</v>
      </c>
    </row>
    <row r="381" spans="1:8" ht="24.75" thickBot="1" x14ac:dyDescent="0.3">
      <c r="A381" s="111" t="s">
        <v>1317</v>
      </c>
      <c r="B381" s="112">
        <v>193000000</v>
      </c>
      <c r="C381" s="111" t="s">
        <v>49</v>
      </c>
      <c r="D381" s="111" t="s">
        <v>89</v>
      </c>
      <c r="E381" s="112">
        <v>192302000</v>
      </c>
      <c r="F381" s="112">
        <f t="shared" si="14"/>
        <v>698000</v>
      </c>
      <c r="G381" s="112">
        <v>192302000</v>
      </c>
      <c r="H381" s="113">
        <v>100</v>
      </c>
    </row>
    <row r="382" spans="1:8" ht="24.75" thickBot="1" x14ac:dyDescent="0.3">
      <c r="A382" s="111" t="s">
        <v>1318</v>
      </c>
      <c r="B382" s="112">
        <v>193000000</v>
      </c>
      <c r="C382" s="111" t="s">
        <v>49</v>
      </c>
      <c r="D382" s="111" t="s">
        <v>89</v>
      </c>
      <c r="E382" s="112">
        <v>192997000</v>
      </c>
      <c r="F382" s="112">
        <f t="shared" si="14"/>
        <v>3000</v>
      </c>
      <c r="G382" s="112">
        <v>192997000</v>
      </c>
      <c r="H382" s="113">
        <v>100</v>
      </c>
    </row>
    <row r="383" spans="1:8" ht="12.75" thickBot="1" x14ac:dyDescent="0.3">
      <c r="A383" s="111" t="s">
        <v>1319</v>
      </c>
      <c r="B383" s="112">
        <v>145000000</v>
      </c>
      <c r="C383" s="111" t="s">
        <v>49</v>
      </c>
      <c r="D383" s="111" t="s">
        <v>89</v>
      </c>
      <c r="E383" s="112">
        <v>144400000</v>
      </c>
      <c r="F383" s="112">
        <f t="shared" si="14"/>
        <v>600000</v>
      </c>
      <c r="G383" s="112">
        <v>144400000</v>
      </c>
      <c r="H383" s="113">
        <v>100</v>
      </c>
    </row>
    <row r="384" spans="1:8" ht="24.75" thickBot="1" x14ac:dyDescent="0.3">
      <c r="A384" s="111" t="s">
        <v>1320</v>
      </c>
      <c r="B384" s="112">
        <v>50000000</v>
      </c>
      <c r="C384" s="111" t="s">
        <v>49</v>
      </c>
      <c r="D384" s="111" t="s">
        <v>194</v>
      </c>
      <c r="E384" s="112">
        <v>48229000</v>
      </c>
      <c r="F384" s="112">
        <f t="shared" si="14"/>
        <v>1771000</v>
      </c>
      <c r="G384" s="112">
        <v>48229000</v>
      </c>
      <c r="H384" s="113">
        <v>100</v>
      </c>
    </row>
    <row r="385" spans="1:10" ht="24.75" thickBot="1" x14ac:dyDescent="0.3">
      <c r="A385" s="111" t="s">
        <v>1321</v>
      </c>
      <c r="B385" s="112">
        <v>40000000</v>
      </c>
      <c r="C385" s="111" t="s">
        <v>49</v>
      </c>
      <c r="D385" s="111" t="s">
        <v>194</v>
      </c>
      <c r="E385" s="112">
        <v>39393000</v>
      </c>
      <c r="F385" s="112">
        <f t="shared" si="14"/>
        <v>607000</v>
      </c>
      <c r="G385" s="112">
        <v>39393000</v>
      </c>
      <c r="H385" s="113">
        <v>100</v>
      </c>
    </row>
    <row r="386" spans="1:10" ht="24.75" thickBot="1" x14ac:dyDescent="0.3">
      <c r="A386" s="111" t="s">
        <v>1322</v>
      </c>
      <c r="B386" s="112">
        <v>50000000</v>
      </c>
      <c r="C386" s="111" t="s">
        <v>49</v>
      </c>
      <c r="D386" s="111" t="s">
        <v>194</v>
      </c>
      <c r="E386" s="112">
        <v>48951000</v>
      </c>
      <c r="F386" s="112">
        <f t="shared" si="14"/>
        <v>1049000</v>
      </c>
      <c r="G386" s="112">
        <v>48951000</v>
      </c>
      <c r="H386" s="113">
        <v>100</v>
      </c>
    </row>
    <row r="387" spans="1:10" ht="24.75" thickBot="1" x14ac:dyDescent="0.3">
      <c r="A387" s="111" t="s">
        <v>1323</v>
      </c>
      <c r="B387" s="112">
        <v>45000000</v>
      </c>
      <c r="C387" s="111" t="s">
        <v>49</v>
      </c>
      <c r="D387" s="111" t="s">
        <v>194</v>
      </c>
      <c r="E387" s="112">
        <v>43107000</v>
      </c>
      <c r="F387" s="112">
        <f t="shared" si="14"/>
        <v>1893000</v>
      </c>
      <c r="G387" s="112">
        <v>43107000</v>
      </c>
      <c r="H387" s="113">
        <v>100</v>
      </c>
    </row>
    <row r="388" spans="1:10" ht="12.75" thickBot="1" x14ac:dyDescent="0.3">
      <c r="A388" s="111" t="s">
        <v>1324</v>
      </c>
      <c r="B388" s="112">
        <v>928992338</v>
      </c>
      <c r="C388" s="111" t="s">
        <v>49</v>
      </c>
      <c r="D388" s="111" t="s">
        <v>89</v>
      </c>
      <c r="E388" s="112">
        <v>928992050</v>
      </c>
      <c r="F388" s="112">
        <f t="shared" si="14"/>
        <v>288</v>
      </c>
      <c r="G388" s="112">
        <v>928992050</v>
      </c>
      <c r="H388" s="113">
        <v>100</v>
      </c>
    </row>
    <row r="389" spans="1:10" ht="12.75" thickBot="1" x14ac:dyDescent="0.3">
      <c r="A389" s="111" t="s">
        <v>1325</v>
      </c>
      <c r="B389" s="112">
        <v>194000000</v>
      </c>
      <c r="C389" s="111" t="s">
        <v>49</v>
      </c>
      <c r="D389" s="111" t="s">
        <v>89</v>
      </c>
      <c r="E389" s="112">
        <v>193421000</v>
      </c>
      <c r="F389" s="112">
        <f t="shared" si="14"/>
        <v>579000</v>
      </c>
      <c r="G389" s="112">
        <v>193421000</v>
      </c>
      <c r="H389" s="113">
        <v>100</v>
      </c>
    </row>
    <row r="390" spans="1:10" ht="12.75" thickBot="1" x14ac:dyDescent="0.3">
      <c r="A390" s="111" t="s">
        <v>1326</v>
      </c>
      <c r="B390" s="112">
        <v>194000000</v>
      </c>
      <c r="C390" s="111" t="s">
        <v>49</v>
      </c>
      <c r="D390" s="111" t="s">
        <v>89</v>
      </c>
      <c r="E390" s="112">
        <v>193046000</v>
      </c>
      <c r="F390" s="112">
        <f t="shared" si="14"/>
        <v>954000</v>
      </c>
      <c r="G390" s="112">
        <v>193046000</v>
      </c>
      <c r="H390" s="113">
        <v>100</v>
      </c>
    </row>
    <row r="391" spans="1:10" ht="24.75" thickBot="1" x14ac:dyDescent="0.3">
      <c r="A391" s="111" t="s">
        <v>1327</v>
      </c>
      <c r="B391" s="112">
        <v>30000000</v>
      </c>
      <c r="C391" s="111" t="s">
        <v>49</v>
      </c>
      <c r="D391" s="111" t="s">
        <v>194</v>
      </c>
      <c r="E391" s="112">
        <v>29492700</v>
      </c>
      <c r="F391" s="112">
        <f t="shared" si="14"/>
        <v>507300</v>
      </c>
      <c r="G391" s="112">
        <v>29492700</v>
      </c>
      <c r="H391" s="113">
        <v>100</v>
      </c>
    </row>
    <row r="392" spans="1:10" ht="36.75" thickBot="1" x14ac:dyDescent="0.3">
      <c r="A392" s="111" t="s">
        <v>1328</v>
      </c>
      <c r="B392" s="112">
        <v>195000000</v>
      </c>
      <c r="C392" s="111" t="s">
        <v>49</v>
      </c>
      <c r="D392" s="111" t="s">
        <v>89</v>
      </c>
      <c r="E392" s="112">
        <v>194361049</v>
      </c>
      <c r="F392" s="112">
        <f t="shared" si="14"/>
        <v>638951</v>
      </c>
      <c r="G392" s="112">
        <v>194361049</v>
      </c>
      <c r="H392" s="113">
        <v>100</v>
      </c>
    </row>
    <row r="393" spans="1:10" ht="24.75" thickBot="1" x14ac:dyDescent="0.3">
      <c r="A393" s="111" t="s">
        <v>1329</v>
      </c>
      <c r="B393" s="112">
        <v>195000000</v>
      </c>
      <c r="C393" s="111" t="s">
        <v>49</v>
      </c>
      <c r="D393" s="111" t="s">
        <v>89</v>
      </c>
      <c r="E393" s="112">
        <v>194311098</v>
      </c>
      <c r="F393" s="112">
        <f t="shared" si="14"/>
        <v>688902</v>
      </c>
      <c r="G393" s="112">
        <v>194311098</v>
      </c>
      <c r="H393" s="113">
        <v>100</v>
      </c>
    </row>
    <row r="394" spans="1:10" ht="12.75" thickBot="1" x14ac:dyDescent="0.3">
      <c r="A394" s="111" t="s">
        <v>1330</v>
      </c>
      <c r="B394" s="112">
        <v>1974995963.2</v>
      </c>
      <c r="C394" s="111" t="s">
        <v>49</v>
      </c>
      <c r="D394" s="111" t="s">
        <v>89</v>
      </c>
      <c r="E394" s="112">
        <v>1974394550</v>
      </c>
      <c r="F394" s="112">
        <f t="shared" si="14"/>
        <v>601413.20000004768</v>
      </c>
      <c r="G394" s="112">
        <v>1974394550</v>
      </c>
      <c r="H394" s="113">
        <v>100</v>
      </c>
    </row>
    <row r="395" spans="1:10" ht="24.75" thickBot="1" x14ac:dyDescent="0.3">
      <c r="A395" s="111" t="s">
        <v>1331</v>
      </c>
      <c r="B395" s="112">
        <v>919997997.60000002</v>
      </c>
      <c r="C395" s="111" t="s">
        <v>49</v>
      </c>
      <c r="D395" s="111" t="s">
        <v>89</v>
      </c>
      <c r="E395" s="112">
        <v>919191300</v>
      </c>
      <c r="F395" s="112">
        <f t="shared" si="14"/>
        <v>806697.60000002384</v>
      </c>
      <c r="G395" s="112">
        <v>919191300</v>
      </c>
      <c r="H395" s="113">
        <v>100</v>
      </c>
    </row>
    <row r="396" spans="1:10" ht="12.75" thickBot="1" x14ac:dyDescent="0.3">
      <c r="A396" s="111" t="s">
        <v>1332</v>
      </c>
      <c r="B396" s="112">
        <v>928996203.20000005</v>
      </c>
      <c r="C396" s="111" t="s">
        <v>49</v>
      </c>
      <c r="D396" s="111" t="s">
        <v>89</v>
      </c>
      <c r="E396" s="112">
        <v>928853850</v>
      </c>
      <c r="F396" s="112">
        <f t="shared" si="14"/>
        <v>142353.20000004768</v>
      </c>
      <c r="G396" s="112">
        <v>928853850</v>
      </c>
      <c r="H396" s="113">
        <v>100</v>
      </c>
    </row>
    <row r="397" spans="1:10" ht="12.75" thickBot="1" x14ac:dyDescent="0.3">
      <c r="A397" s="111" t="s">
        <v>1333</v>
      </c>
      <c r="B397" s="112">
        <v>918997997.60000002</v>
      </c>
      <c r="C397" s="111" t="s">
        <v>49</v>
      </c>
      <c r="D397" s="111" t="s">
        <v>89</v>
      </c>
      <c r="E397" s="112">
        <v>918514200</v>
      </c>
      <c r="F397" s="112">
        <f t="shared" si="14"/>
        <v>483797.60000002384</v>
      </c>
      <c r="G397" s="112">
        <f>275554260+642959940</f>
        <v>918514200</v>
      </c>
      <c r="H397" s="113">
        <v>100</v>
      </c>
    </row>
    <row r="398" spans="1:10" ht="12.75" thickBot="1" x14ac:dyDescent="0.3">
      <c r="A398" s="111" t="s">
        <v>1334</v>
      </c>
      <c r="B398" s="112">
        <v>197000000</v>
      </c>
      <c r="C398" s="111" t="s">
        <v>49</v>
      </c>
      <c r="D398" s="111" t="s">
        <v>89</v>
      </c>
      <c r="E398" s="112">
        <v>196364000</v>
      </c>
      <c r="F398" s="112">
        <f t="shared" si="14"/>
        <v>636000</v>
      </c>
      <c r="G398" s="112">
        <v>196364000</v>
      </c>
      <c r="H398" s="113">
        <v>100</v>
      </c>
    </row>
    <row r="399" spans="1:10" ht="24.75" thickBot="1" x14ac:dyDescent="0.3">
      <c r="A399" s="111" t="s">
        <v>1335</v>
      </c>
      <c r="B399" s="112">
        <v>45000000</v>
      </c>
      <c r="C399" s="111" t="s">
        <v>49</v>
      </c>
      <c r="D399" s="111" t="s">
        <v>194</v>
      </c>
      <c r="E399" s="112">
        <v>44544300</v>
      </c>
      <c r="F399" s="112">
        <f t="shared" si="14"/>
        <v>455700</v>
      </c>
      <c r="G399" s="112">
        <v>44544300</v>
      </c>
      <c r="H399" s="113">
        <v>100</v>
      </c>
    </row>
    <row r="400" spans="1:10" ht="24.75" thickBot="1" x14ac:dyDescent="0.3">
      <c r="A400" s="111" t="s">
        <v>1336</v>
      </c>
      <c r="B400" s="112">
        <v>30000000</v>
      </c>
      <c r="C400" s="111" t="s">
        <v>49</v>
      </c>
      <c r="D400" s="111" t="s">
        <v>194</v>
      </c>
      <c r="E400" s="112">
        <v>29553000</v>
      </c>
      <c r="F400" s="112">
        <f t="shared" si="14"/>
        <v>447000</v>
      </c>
      <c r="G400" s="112">
        <v>29553000</v>
      </c>
      <c r="H400" s="113">
        <v>100</v>
      </c>
      <c r="I400" s="60"/>
      <c r="J400" s="60"/>
    </row>
    <row r="401" spans="1:10" ht="24.75" thickBot="1" x14ac:dyDescent="0.3">
      <c r="A401" s="132" t="s">
        <v>1337</v>
      </c>
      <c r="B401" s="112">
        <v>30000000</v>
      </c>
      <c r="C401" s="111" t="s">
        <v>49</v>
      </c>
      <c r="D401" s="111" t="s">
        <v>194</v>
      </c>
      <c r="E401" s="133">
        <v>28471000</v>
      </c>
      <c r="F401" s="112">
        <f t="shared" si="14"/>
        <v>1529000</v>
      </c>
      <c r="G401" s="134">
        <v>28471000</v>
      </c>
      <c r="H401" s="113">
        <v>100</v>
      </c>
      <c r="I401" s="60"/>
      <c r="J401" s="60"/>
    </row>
    <row r="402" spans="1:10" ht="24.75" thickBot="1" x14ac:dyDescent="0.3">
      <c r="A402" s="111" t="s">
        <v>1338</v>
      </c>
      <c r="B402" s="112">
        <v>30000000</v>
      </c>
      <c r="C402" s="111" t="s">
        <v>49</v>
      </c>
      <c r="D402" s="111" t="s">
        <v>194</v>
      </c>
      <c r="E402" s="133">
        <v>29492000</v>
      </c>
      <c r="F402" s="112">
        <f t="shared" si="14"/>
        <v>508000</v>
      </c>
      <c r="G402" s="135">
        <v>29492000</v>
      </c>
      <c r="H402" s="113">
        <v>100</v>
      </c>
      <c r="I402" s="60"/>
      <c r="J402" s="60"/>
    </row>
    <row r="403" spans="1:10" ht="12.75" thickBot="1" x14ac:dyDescent="0.3">
      <c r="A403" s="111" t="s">
        <v>1339</v>
      </c>
      <c r="B403" s="112">
        <v>1966997757.5999999</v>
      </c>
      <c r="C403" s="111" t="s">
        <v>49</v>
      </c>
      <c r="D403" s="111" t="s">
        <v>89</v>
      </c>
      <c r="E403" s="112">
        <v>1966671050</v>
      </c>
      <c r="F403" s="112">
        <f t="shared" si="14"/>
        <v>326707.59999990463</v>
      </c>
      <c r="G403" s="112">
        <f>590001315+688334867+688334868</f>
        <v>1966671050</v>
      </c>
      <c r="H403" s="113">
        <v>100</v>
      </c>
      <c r="I403" s="60"/>
      <c r="J403" s="60"/>
    </row>
    <row r="404" spans="1:10" ht="24.75" thickBot="1" x14ac:dyDescent="0.3">
      <c r="A404" s="111" t="s">
        <v>1340</v>
      </c>
      <c r="B404" s="112">
        <v>1965997757.5999999</v>
      </c>
      <c r="C404" s="111" t="s">
        <v>49</v>
      </c>
      <c r="D404" s="111" t="s">
        <v>89</v>
      </c>
      <c r="E404" s="112">
        <v>1965180900</v>
      </c>
      <c r="F404" s="112">
        <f t="shared" si="14"/>
        <v>816857.59999990463</v>
      </c>
      <c r="G404" s="112">
        <f>589554270+687813315+687813315</f>
        <v>1965180900</v>
      </c>
      <c r="H404" s="113">
        <v>100</v>
      </c>
      <c r="I404" s="60"/>
      <c r="J404" s="60"/>
    </row>
    <row r="405" spans="1:10" ht="24.75" thickBot="1" x14ac:dyDescent="0.3">
      <c r="A405" s="111" t="s">
        <v>1341</v>
      </c>
      <c r="B405" s="112">
        <v>40000000</v>
      </c>
      <c r="C405" s="111" t="s">
        <v>49</v>
      </c>
      <c r="D405" s="111" t="s">
        <v>194</v>
      </c>
      <c r="E405" s="112">
        <v>39615000</v>
      </c>
      <c r="F405" s="112">
        <f t="shared" si="14"/>
        <v>385000</v>
      </c>
      <c r="G405" s="112">
        <v>39615000</v>
      </c>
      <c r="H405" s="113">
        <v>100</v>
      </c>
      <c r="I405" s="60"/>
      <c r="J405" s="60"/>
    </row>
    <row r="406" spans="1:10" ht="24.75" thickBot="1" x14ac:dyDescent="0.3">
      <c r="A406" s="111" t="s">
        <v>1342</v>
      </c>
      <c r="B406" s="112">
        <v>35000000</v>
      </c>
      <c r="C406" s="111" t="s">
        <v>49</v>
      </c>
      <c r="D406" s="111" t="s">
        <v>194</v>
      </c>
      <c r="E406" s="112">
        <v>34620000</v>
      </c>
      <c r="F406" s="112">
        <f t="shared" si="14"/>
        <v>380000</v>
      </c>
      <c r="G406" s="112">
        <v>34620000</v>
      </c>
      <c r="H406" s="113">
        <v>100</v>
      </c>
      <c r="I406" s="60"/>
      <c r="J406" s="60"/>
    </row>
    <row r="407" spans="1:10" ht="27" customHeight="1" thickBot="1" x14ac:dyDescent="0.3">
      <c r="A407" s="111" t="s">
        <v>1343</v>
      </c>
      <c r="B407" s="112">
        <v>925988693.60000002</v>
      </c>
      <c r="C407" s="111" t="s">
        <v>49</v>
      </c>
      <c r="D407" s="111" t="s">
        <v>89</v>
      </c>
      <c r="E407" s="112">
        <v>925304300</v>
      </c>
      <c r="F407" s="112">
        <f t="shared" si="14"/>
        <v>684393.60000002384</v>
      </c>
      <c r="G407" s="112">
        <f>277591290+647713010</f>
        <v>925304300</v>
      </c>
      <c r="H407" s="113">
        <v>100</v>
      </c>
      <c r="I407" s="60"/>
      <c r="J407" s="60"/>
    </row>
    <row r="408" spans="1:10" ht="12.75" thickBot="1" x14ac:dyDescent="0.3">
      <c r="A408" s="111" t="s">
        <v>1344</v>
      </c>
      <c r="B408" s="112">
        <v>925988693.60000002</v>
      </c>
      <c r="C408" s="111" t="s">
        <v>49</v>
      </c>
      <c r="D408" s="111" t="s">
        <v>89</v>
      </c>
      <c r="E408" s="112">
        <v>925256000</v>
      </c>
      <c r="F408" s="112">
        <f t="shared" si="14"/>
        <v>732693.60000002384</v>
      </c>
      <c r="G408" s="112">
        <f>277576800+647679200</f>
        <v>925256000</v>
      </c>
      <c r="H408" s="113">
        <v>100</v>
      </c>
      <c r="I408" s="60"/>
      <c r="J408" s="60"/>
    </row>
    <row r="409" spans="1:10" ht="12.75" thickBot="1" x14ac:dyDescent="0.3">
      <c r="A409" s="111" t="s">
        <v>1345</v>
      </c>
      <c r="B409" s="112">
        <v>760989072</v>
      </c>
      <c r="C409" s="111" t="s">
        <v>49</v>
      </c>
      <c r="D409" s="111" t="s">
        <v>89</v>
      </c>
      <c r="E409" s="112">
        <v>760270470</v>
      </c>
      <c r="F409" s="112">
        <f t="shared" si="14"/>
        <v>718602</v>
      </c>
      <c r="G409" s="112">
        <v>760270470</v>
      </c>
      <c r="H409" s="113">
        <v>100</v>
      </c>
      <c r="I409" s="60"/>
      <c r="J409" s="60"/>
    </row>
    <row r="410" spans="1:10" ht="12.75" thickBot="1" x14ac:dyDescent="0.3">
      <c r="A410" s="111" t="s">
        <v>1346</v>
      </c>
      <c r="B410" s="112">
        <v>196000000</v>
      </c>
      <c r="C410" s="111" t="s">
        <v>49</v>
      </c>
      <c r="D410" s="111" t="s">
        <v>89</v>
      </c>
      <c r="E410" s="112">
        <v>195324950</v>
      </c>
      <c r="F410" s="112">
        <f t="shared" si="14"/>
        <v>675050</v>
      </c>
      <c r="G410" s="112">
        <v>195324950</v>
      </c>
      <c r="H410" s="113">
        <v>100</v>
      </c>
      <c r="I410" s="60"/>
      <c r="J410" s="60"/>
    </row>
    <row r="411" spans="1:10" ht="24.75" thickBot="1" x14ac:dyDescent="0.3">
      <c r="A411" s="111" t="s">
        <v>1347</v>
      </c>
      <c r="B411" s="112">
        <v>196000000</v>
      </c>
      <c r="C411" s="111" t="s">
        <v>49</v>
      </c>
      <c r="D411" s="111" t="s">
        <v>89</v>
      </c>
      <c r="E411" s="112">
        <v>195366843</v>
      </c>
      <c r="F411" s="112">
        <f t="shared" si="14"/>
        <v>633157</v>
      </c>
      <c r="G411" s="112">
        <v>195366843</v>
      </c>
      <c r="H411" s="113">
        <v>100</v>
      </c>
      <c r="I411" s="60"/>
      <c r="J411" s="60"/>
    </row>
    <row r="412" spans="1:10" ht="24.75" thickBot="1" x14ac:dyDescent="0.3">
      <c r="A412" s="111" t="s">
        <v>1348</v>
      </c>
      <c r="B412" s="112">
        <v>195000000</v>
      </c>
      <c r="C412" s="111" t="s">
        <v>49</v>
      </c>
      <c r="D412" s="111" t="s">
        <v>89</v>
      </c>
      <c r="E412" s="112">
        <v>194742424</v>
      </c>
      <c r="F412" s="112">
        <f t="shared" si="14"/>
        <v>257576</v>
      </c>
      <c r="G412" s="112">
        <v>194742424</v>
      </c>
      <c r="H412" s="113">
        <v>100</v>
      </c>
      <c r="I412" s="60"/>
      <c r="J412" s="60"/>
    </row>
    <row r="413" spans="1:10" ht="24.75" thickBot="1" x14ac:dyDescent="0.3">
      <c r="A413" s="111" t="s">
        <v>1349</v>
      </c>
      <c r="B413" s="112">
        <v>30000000</v>
      </c>
      <c r="C413" s="111" t="s">
        <v>49</v>
      </c>
      <c r="D413" s="111" t="s">
        <v>194</v>
      </c>
      <c r="E413" s="112">
        <v>29825000</v>
      </c>
      <c r="F413" s="112">
        <f t="shared" si="14"/>
        <v>175000</v>
      </c>
      <c r="G413" s="112">
        <v>29825000</v>
      </c>
      <c r="H413" s="113">
        <v>100</v>
      </c>
      <c r="I413" s="60"/>
      <c r="J413" s="60"/>
    </row>
    <row r="414" spans="1:10" ht="24.75" thickBot="1" x14ac:dyDescent="0.3">
      <c r="A414" s="111" t="s">
        <v>1350</v>
      </c>
      <c r="B414" s="112">
        <v>30000000</v>
      </c>
      <c r="C414" s="111" t="s">
        <v>49</v>
      </c>
      <c r="D414" s="111" t="s">
        <v>194</v>
      </c>
      <c r="E414" s="112">
        <v>29781000</v>
      </c>
      <c r="F414" s="112">
        <f t="shared" si="14"/>
        <v>219000</v>
      </c>
      <c r="G414" s="112">
        <v>29781000</v>
      </c>
      <c r="H414" s="113">
        <v>100</v>
      </c>
      <c r="I414" s="60"/>
      <c r="J414" s="60"/>
    </row>
    <row r="415" spans="1:10" ht="24.75" thickBot="1" x14ac:dyDescent="0.3">
      <c r="A415" s="111" t="s">
        <v>1351</v>
      </c>
      <c r="B415" s="112">
        <v>30000000</v>
      </c>
      <c r="C415" s="111" t="s">
        <v>49</v>
      </c>
      <c r="D415" s="111" t="s">
        <v>194</v>
      </c>
      <c r="E415" s="112">
        <v>29803500</v>
      </c>
      <c r="F415" s="112">
        <f t="shared" si="14"/>
        <v>196500</v>
      </c>
      <c r="G415" s="112">
        <v>29803500</v>
      </c>
      <c r="H415" s="113">
        <v>100</v>
      </c>
      <c r="I415" s="60"/>
      <c r="J415" s="60"/>
    </row>
    <row r="416" spans="1:10" ht="24.75" thickBot="1" x14ac:dyDescent="0.3">
      <c r="A416" s="111" t="s">
        <v>1352</v>
      </c>
      <c r="B416" s="112">
        <v>19992027</v>
      </c>
      <c r="C416" s="111" t="s">
        <v>49</v>
      </c>
      <c r="D416" s="111" t="s">
        <v>194</v>
      </c>
      <c r="E416" s="112">
        <v>19600000</v>
      </c>
      <c r="F416" s="112">
        <f t="shared" si="14"/>
        <v>392027</v>
      </c>
      <c r="G416" s="112">
        <v>19600000</v>
      </c>
      <c r="H416" s="113">
        <v>100</v>
      </c>
    </row>
    <row r="417" spans="1:10" ht="24.75" thickBot="1" x14ac:dyDescent="0.3">
      <c r="A417" s="111" t="s">
        <v>1353</v>
      </c>
      <c r="B417" s="112">
        <v>19992027</v>
      </c>
      <c r="C417" s="111" t="s">
        <v>49</v>
      </c>
      <c r="D417" s="111" t="s">
        <v>194</v>
      </c>
      <c r="E417" s="112">
        <v>18870000</v>
      </c>
      <c r="F417" s="112">
        <f t="shared" si="14"/>
        <v>1122027</v>
      </c>
      <c r="G417" s="112">
        <v>18870000</v>
      </c>
      <c r="H417" s="113">
        <v>100</v>
      </c>
    </row>
    <row r="418" spans="1:10" ht="24.75" thickBot="1" x14ac:dyDescent="0.3">
      <c r="A418" s="111" t="s">
        <v>1354</v>
      </c>
      <c r="B418" s="112">
        <v>19992027</v>
      </c>
      <c r="C418" s="111" t="s">
        <v>49</v>
      </c>
      <c r="D418" s="111" t="s">
        <v>194</v>
      </c>
      <c r="E418" s="112">
        <v>19258500</v>
      </c>
      <c r="F418" s="112">
        <f t="shared" si="14"/>
        <v>733527</v>
      </c>
      <c r="G418" s="112">
        <v>19258500</v>
      </c>
      <c r="H418" s="113">
        <v>100</v>
      </c>
    </row>
    <row r="419" spans="1:10" ht="24.75" thickBot="1" x14ac:dyDescent="0.3">
      <c r="A419" s="111" t="s">
        <v>1355</v>
      </c>
      <c r="B419" s="112">
        <v>29994987</v>
      </c>
      <c r="C419" s="111" t="s">
        <v>49</v>
      </c>
      <c r="D419" s="111" t="s">
        <v>194</v>
      </c>
      <c r="E419" s="112">
        <v>29681400</v>
      </c>
      <c r="F419" s="112">
        <f t="shared" si="14"/>
        <v>313587</v>
      </c>
      <c r="G419" s="112">
        <v>29681400</v>
      </c>
      <c r="H419" s="113">
        <v>100</v>
      </c>
    </row>
    <row r="420" spans="1:10" ht="24.75" thickBot="1" x14ac:dyDescent="0.3">
      <c r="A420" s="111" t="s">
        <v>1356</v>
      </c>
      <c r="B420" s="112">
        <v>19992027</v>
      </c>
      <c r="C420" s="111" t="s">
        <v>49</v>
      </c>
      <c r="D420" s="111" t="s">
        <v>194</v>
      </c>
      <c r="E420" s="112">
        <v>19000000</v>
      </c>
      <c r="F420" s="112">
        <f t="shared" si="14"/>
        <v>992027</v>
      </c>
      <c r="G420" s="112">
        <v>19000000</v>
      </c>
      <c r="H420" s="113">
        <v>100</v>
      </c>
    </row>
    <row r="421" spans="1:10" ht="24.75" thickBot="1" x14ac:dyDescent="0.3">
      <c r="A421" s="111" t="s">
        <v>1357</v>
      </c>
      <c r="B421" s="112">
        <v>19992027</v>
      </c>
      <c r="C421" s="111" t="s">
        <v>49</v>
      </c>
      <c r="D421" s="111" t="s">
        <v>194</v>
      </c>
      <c r="E421" s="112">
        <v>19547000</v>
      </c>
      <c r="F421" s="112">
        <f t="shared" ref="F421:F450" si="15">B421-G421</f>
        <v>445027</v>
      </c>
      <c r="G421" s="112">
        <v>19547000</v>
      </c>
      <c r="H421" s="113">
        <v>100</v>
      </c>
    </row>
    <row r="422" spans="1:10" ht="12.75" thickBot="1" x14ac:dyDescent="0.3">
      <c r="A422" s="111" t="s">
        <v>1358</v>
      </c>
      <c r="B422" s="112">
        <v>29994987</v>
      </c>
      <c r="C422" s="111" t="s">
        <v>49</v>
      </c>
      <c r="D422" s="111" t="s">
        <v>194</v>
      </c>
      <c r="E422" s="112">
        <v>28900000</v>
      </c>
      <c r="F422" s="112">
        <f t="shared" si="15"/>
        <v>1094987</v>
      </c>
      <c r="G422" s="112">
        <v>28900000</v>
      </c>
      <c r="H422" s="113">
        <v>100</v>
      </c>
    </row>
    <row r="423" spans="1:10" ht="12.75" thickBot="1" x14ac:dyDescent="0.3">
      <c r="A423" s="111" t="s">
        <v>1359</v>
      </c>
      <c r="B423" s="112">
        <v>19992027</v>
      </c>
      <c r="C423" s="111" t="s">
        <v>49</v>
      </c>
      <c r="D423" s="111" t="s">
        <v>194</v>
      </c>
      <c r="E423" s="112">
        <v>18700000</v>
      </c>
      <c r="F423" s="112">
        <f t="shared" si="15"/>
        <v>1292027</v>
      </c>
      <c r="G423" s="112">
        <v>18700000</v>
      </c>
      <c r="H423" s="113">
        <v>100</v>
      </c>
    </row>
    <row r="424" spans="1:10" ht="24.75" thickBot="1" x14ac:dyDescent="0.3">
      <c r="A424" s="111" t="s">
        <v>1360</v>
      </c>
      <c r="B424" s="112">
        <v>19992027</v>
      </c>
      <c r="C424" s="111" t="s">
        <v>49</v>
      </c>
      <c r="D424" s="111" t="s">
        <v>194</v>
      </c>
      <c r="E424" s="112">
        <v>19680300</v>
      </c>
      <c r="F424" s="112">
        <f t="shared" si="15"/>
        <v>311727</v>
      </c>
      <c r="G424" s="112">
        <v>19680300</v>
      </c>
      <c r="H424" s="113">
        <v>100</v>
      </c>
    </row>
    <row r="425" spans="1:10" ht="12.75" thickBot="1" x14ac:dyDescent="0.3">
      <c r="A425" s="111" t="s">
        <v>1361</v>
      </c>
      <c r="B425" s="112">
        <v>29994987</v>
      </c>
      <c r="C425" s="111" t="s">
        <v>49</v>
      </c>
      <c r="D425" s="111" t="s">
        <v>194</v>
      </c>
      <c r="E425" s="112">
        <v>29000000</v>
      </c>
      <c r="F425" s="112">
        <f t="shared" si="15"/>
        <v>994987</v>
      </c>
      <c r="G425" s="112">
        <v>29000000</v>
      </c>
      <c r="H425" s="113">
        <v>100</v>
      </c>
    </row>
    <row r="426" spans="1:10" ht="24.75" thickBot="1" x14ac:dyDescent="0.3">
      <c r="A426" s="111" t="s">
        <v>1362</v>
      </c>
      <c r="B426" s="112">
        <v>29994987</v>
      </c>
      <c r="C426" s="111" t="s">
        <v>49</v>
      </c>
      <c r="D426" s="111" t="s">
        <v>194</v>
      </c>
      <c r="E426" s="112">
        <v>29398000</v>
      </c>
      <c r="F426" s="112">
        <f t="shared" si="15"/>
        <v>596987</v>
      </c>
      <c r="G426" s="112">
        <v>29398000</v>
      </c>
      <c r="H426" s="113">
        <v>100</v>
      </c>
    </row>
    <row r="427" spans="1:10" ht="24.75" thickBot="1" x14ac:dyDescent="0.3">
      <c r="A427" s="111" t="s">
        <v>1363</v>
      </c>
      <c r="B427" s="112">
        <v>34996467</v>
      </c>
      <c r="C427" s="111" t="s">
        <v>49</v>
      </c>
      <c r="D427" s="111" t="s">
        <v>194</v>
      </c>
      <c r="E427" s="112">
        <v>33288000</v>
      </c>
      <c r="F427" s="112">
        <f t="shared" si="15"/>
        <v>1708467</v>
      </c>
      <c r="G427" s="112">
        <v>33288000</v>
      </c>
      <c r="H427" s="113">
        <v>100</v>
      </c>
    </row>
    <row r="428" spans="1:10" ht="24.75" thickBot="1" x14ac:dyDescent="0.3">
      <c r="A428" s="111" t="s">
        <v>1364</v>
      </c>
      <c r="B428" s="112">
        <v>19992027</v>
      </c>
      <c r="C428" s="111" t="s">
        <v>49</v>
      </c>
      <c r="D428" s="111" t="s">
        <v>194</v>
      </c>
      <c r="E428" s="112">
        <v>19258500</v>
      </c>
      <c r="F428" s="112">
        <f t="shared" si="15"/>
        <v>733527</v>
      </c>
      <c r="G428" s="112">
        <v>19258500</v>
      </c>
      <c r="H428" s="113">
        <v>100</v>
      </c>
    </row>
    <row r="429" spans="1:10" ht="24.75" thickBot="1" x14ac:dyDescent="0.3">
      <c r="A429" s="111" t="s">
        <v>1365</v>
      </c>
      <c r="B429" s="112">
        <v>49987014</v>
      </c>
      <c r="C429" s="111" t="s">
        <v>49</v>
      </c>
      <c r="D429" s="111" t="s">
        <v>194</v>
      </c>
      <c r="E429" s="112">
        <v>49000000</v>
      </c>
      <c r="F429" s="112">
        <f t="shared" si="15"/>
        <v>987014</v>
      </c>
      <c r="G429" s="112">
        <v>49000000</v>
      </c>
      <c r="H429" s="113">
        <v>100</v>
      </c>
    </row>
    <row r="430" spans="1:10" ht="24.75" thickBot="1" x14ac:dyDescent="0.3">
      <c r="A430" s="111" t="s">
        <v>1366</v>
      </c>
      <c r="B430" s="112">
        <v>89998854</v>
      </c>
      <c r="C430" s="111" t="s">
        <v>49</v>
      </c>
      <c r="D430" s="111" t="s">
        <v>194</v>
      </c>
      <c r="E430" s="112">
        <v>88578000</v>
      </c>
      <c r="F430" s="112">
        <f t="shared" si="15"/>
        <v>1420854</v>
      </c>
      <c r="G430" s="112">
        <v>88578000</v>
      </c>
      <c r="H430" s="113">
        <v>100</v>
      </c>
    </row>
    <row r="431" spans="1:10" ht="24.75" thickBot="1" x14ac:dyDescent="0.3">
      <c r="A431" s="111" t="s">
        <v>1367</v>
      </c>
      <c r="B431" s="112">
        <v>8991990774</v>
      </c>
      <c r="C431" s="111" t="s">
        <v>49</v>
      </c>
      <c r="D431" s="111" t="s">
        <v>89</v>
      </c>
      <c r="E431" s="112">
        <v>8991959500</v>
      </c>
      <c r="F431" s="112">
        <f t="shared" si="15"/>
        <v>31274</v>
      </c>
      <c r="G431" s="112">
        <f>1798391900+7193567600</f>
        <v>8991959500</v>
      </c>
      <c r="H431" s="113">
        <v>100</v>
      </c>
    </row>
    <row r="432" spans="1:10" ht="12.75" thickBot="1" x14ac:dyDescent="0.3">
      <c r="A432" s="111" t="s">
        <v>1368</v>
      </c>
      <c r="B432" s="112">
        <v>764664935.40000916</v>
      </c>
      <c r="C432" s="111" t="s">
        <v>19</v>
      </c>
      <c r="D432" s="111" t="s">
        <v>19</v>
      </c>
      <c r="E432" s="112">
        <v>0</v>
      </c>
      <c r="F432" s="112">
        <f t="shared" si="15"/>
        <v>167515845.40000916</v>
      </c>
      <c r="G432" s="112">
        <f>15837540+197069011+67102093+57027000+1730000+123172946+5821500+40812000+88577000</f>
        <v>597149090</v>
      </c>
      <c r="H432" s="113">
        <f>G432/B432*100</f>
        <v>78.092908717936865</v>
      </c>
      <c r="J432" s="81">
        <f>G432-19600000</f>
        <v>577549090</v>
      </c>
    </row>
    <row r="433" spans="1:8" s="50" customFormat="1" ht="25.5" thickBot="1" x14ac:dyDescent="0.3">
      <c r="A433" s="136" t="s">
        <v>1369</v>
      </c>
      <c r="B433" s="129">
        <v>180000000</v>
      </c>
      <c r="C433" s="136" t="s">
        <v>49</v>
      </c>
      <c r="D433" s="136" t="s">
        <v>89</v>
      </c>
      <c r="E433" s="129">
        <v>179006000</v>
      </c>
      <c r="F433" s="112">
        <f t="shared" si="15"/>
        <v>994000</v>
      </c>
      <c r="G433" s="129">
        <v>179006000</v>
      </c>
      <c r="H433" s="113">
        <v>100</v>
      </c>
    </row>
    <row r="434" spans="1:8" s="50" customFormat="1" ht="15.75" thickBot="1" x14ac:dyDescent="0.3">
      <c r="A434" s="136" t="s">
        <v>1370</v>
      </c>
      <c r="B434" s="129">
        <v>170000000</v>
      </c>
      <c r="C434" s="136" t="s">
        <v>49</v>
      </c>
      <c r="D434" s="136" t="s">
        <v>89</v>
      </c>
      <c r="E434" s="129">
        <v>169082000</v>
      </c>
      <c r="F434" s="112">
        <f t="shared" si="15"/>
        <v>918000</v>
      </c>
      <c r="G434" s="129">
        <v>169082000</v>
      </c>
      <c r="H434" s="113">
        <v>100</v>
      </c>
    </row>
    <row r="435" spans="1:8" s="50" customFormat="1" ht="25.5" thickBot="1" x14ac:dyDescent="0.3">
      <c r="A435" s="136" t="s">
        <v>1371</v>
      </c>
      <c r="B435" s="129">
        <v>100000000</v>
      </c>
      <c r="C435" s="136" t="s">
        <v>49</v>
      </c>
      <c r="D435" s="136" t="s">
        <v>89</v>
      </c>
      <c r="E435" s="129">
        <v>98541000</v>
      </c>
      <c r="F435" s="112">
        <f t="shared" si="15"/>
        <v>1459000</v>
      </c>
      <c r="G435" s="129">
        <v>98541000</v>
      </c>
      <c r="H435" s="113">
        <v>100</v>
      </c>
    </row>
    <row r="436" spans="1:8" s="50" customFormat="1" ht="25.5" thickBot="1" x14ac:dyDescent="0.3">
      <c r="A436" s="136" t="s">
        <v>1372</v>
      </c>
      <c r="B436" s="129">
        <v>100000000</v>
      </c>
      <c r="C436" s="136" t="s">
        <v>49</v>
      </c>
      <c r="D436" s="136" t="s">
        <v>89</v>
      </c>
      <c r="E436" s="129">
        <v>98675000</v>
      </c>
      <c r="F436" s="112">
        <f t="shared" si="15"/>
        <v>1325000</v>
      </c>
      <c r="G436" s="129">
        <v>98675000</v>
      </c>
      <c r="H436" s="113">
        <v>100</v>
      </c>
    </row>
    <row r="437" spans="1:8" s="50" customFormat="1" ht="25.5" thickBot="1" x14ac:dyDescent="0.3">
      <c r="A437" s="136" t="s">
        <v>1373</v>
      </c>
      <c r="B437" s="129">
        <v>195000000</v>
      </c>
      <c r="C437" s="136" t="s">
        <v>49</v>
      </c>
      <c r="D437" s="136" t="s">
        <v>89</v>
      </c>
      <c r="E437" s="129">
        <v>192906000</v>
      </c>
      <c r="F437" s="112">
        <f t="shared" si="15"/>
        <v>2094000</v>
      </c>
      <c r="G437" s="129">
        <v>192906000</v>
      </c>
      <c r="H437" s="113">
        <v>100</v>
      </c>
    </row>
    <row r="438" spans="1:8" s="50" customFormat="1" ht="25.5" thickBot="1" x14ac:dyDescent="0.3">
      <c r="A438" s="136" t="s">
        <v>1374</v>
      </c>
      <c r="B438" s="129">
        <v>147000000</v>
      </c>
      <c r="C438" s="136" t="s">
        <v>49</v>
      </c>
      <c r="D438" s="136" t="s">
        <v>89</v>
      </c>
      <c r="E438" s="129">
        <v>144389000</v>
      </c>
      <c r="F438" s="112">
        <f t="shared" si="15"/>
        <v>2611000</v>
      </c>
      <c r="G438" s="129">
        <v>144389000</v>
      </c>
      <c r="H438" s="113">
        <v>100</v>
      </c>
    </row>
    <row r="439" spans="1:8" s="48" customFormat="1" ht="15.75" thickBot="1" x14ac:dyDescent="0.3">
      <c r="A439" s="121" t="s">
        <v>1375</v>
      </c>
      <c r="B439" s="122">
        <v>100000000</v>
      </c>
      <c r="C439" s="121" t="s">
        <v>49</v>
      </c>
      <c r="D439" s="121" t="s">
        <v>89</v>
      </c>
      <c r="E439" s="122">
        <v>98181000</v>
      </c>
      <c r="F439" s="112">
        <f t="shared" si="15"/>
        <v>1819000</v>
      </c>
      <c r="G439" s="122">
        <v>98181000</v>
      </c>
      <c r="H439" s="113">
        <v>100</v>
      </c>
    </row>
    <row r="440" spans="1:8" ht="24.75" thickBot="1" x14ac:dyDescent="0.3">
      <c r="A440" s="106" t="s">
        <v>1376</v>
      </c>
      <c r="B440" s="107">
        <f>SUM(B441:B451)</f>
        <v>2680000000</v>
      </c>
      <c r="C440" s="108"/>
      <c r="D440" s="108"/>
      <c r="E440" s="109"/>
      <c r="F440" s="107">
        <f t="shared" si="15"/>
        <v>77818416</v>
      </c>
      <c r="G440" s="109">
        <f>SUM(G441:G451)</f>
        <v>2602181584</v>
      </c>
      <c r="H440" s="114">
        <v>97.1</v>
      </c>
    </row>
    <row r="441" spans="1:8" ht="12.75" thickBot="1" x14ac:dyDescent="0.3">
      <c r="A441" s="111" t="s">
        <v>1377</v>
      </c>
      <c r="B441" s="112">
        <v>195000000</v>
      </c>
      <c r="C441" s="111" t="s">
        <v>49</v>
      </c>
      <c r="D441" s="111" t="s">
        <v>89</v>
      </c>
      <c r="E441" s="112">
        <v>189845202</v>
      </c>
      <c r="F441" s="112">
        <f t="shared" si="15"/>
        <v>5154798</v>
      </c>
      <c r="G441" s="112">
        <v>189845202</v>
      </c>
      <c r="H441" s="113">
        <v>100</v>
      </c>
    </row>
    <row r="442" spans="1:8" ht="24.75" thickBot="1" x14ac:dyDescent="0.3">
      <c r="A442" s="111" t="s">
        <v>1378</v>
      </c>
      <c r="B442" s="112">
        <v>195000000</v>
      </c>
      <c r="C442" s="111" t="s">
        <v>49</v>
      </c>
      <c r="D442" s="111" t="s">
        <v>89</v>
      </c>
      <c r="E442" s="112">
        <v>190209600</v>
      </c>
      <c r="F442" s="112">
        <f t="shared" si="15"/>
        <v>4790400</v>
      </c>
      <c r="G442" s="112">
        <v>190209600</v>
      </c>
      <c r="H442" s="113">
        <v>100</v>
      </c>
    </row>
    <row r="443" spans="1:8" ht="24" customHeight="1" thickBot="1" x14ac:dyDescent="0.3">
      <c r="A443" s="111" t="s">
        <v>1379</v>
      </c>
      <c r="B443" s="112">
        <v>1391000000</v>
      </c>
      <c r="C443" s="111" t="s">
        <v>49</v>
      </c>
      <c r="D443" s="111" t="s">
        <v>89</v>
      </c>
      <c r="E443" s="112">
        <v>1374680400</v>
      </c>
      <c r="F443" s="112">
        <f t="shared" si="15"/>
        <v>16319600</v>
      </c>
      <c r="G443" s="112">
        <f>412404120+962276280</f>
        <v>1374680400</v>
      </c>
      <c r="H443" s="113">
        <v>100</v>
      </c>
    </row>
    <row r="444" spans="1:8" ht="24.75" thickBot="1" x14ac:dyDescent="0.3">
      <c r="A444" s="111" t="s">
        <v>1380</v>
      </c>
      <c r="B444" s="112">
        <v>30000000</v>
      </c>
      <c r="C444" s="111" t="s">
        <v>49</v>
      </c>
      <c r="D444" s="111" t="s">
        <v>194</v>
      </c>
      <c r="E444" s="112">
        <v>28696000</v>
      </c>
      <c r="F444" s="112">
        <f t="shared" si="15"/>
        <v>1304000</v>
      </c>
      <c r="G444" s="112">
        <v>28696000</v>
      </c>
      <c r="H444" s="113">
        <v>100</v>
      </c>
    </row>
    <row r="445" spans="1:8" ht="24.75" thickBot="1" x14ac:dyDescent="0.3">
      <c r="A445" s="111" t="s">
        <v>1381</v>
      </c>
      <c r="B445" s="112">
        <v>35000000</v>
      </c>
      <c r="C445" s="111" t="s">
        <v>49</v>
      </c>
      <c r="D445" s="111" t="s">
        <v>194</v>
      </c>
      <c r="E445" s="112">
        <v>34770000</v>
      </c>
      <c r="F445" s="112">
        <f t="shared" si="15"/>
        <v>230000</v>
      </c>
      <c r="G445" s="112">
        <v>34770000</v>
      </c>
      <c r="H445" s="113">
        <v>100</v>
      </c>
    </row>
    <row r="446" spans="1:8" ht="12.75" thickBot="1" x14ac:dyDescent="0.3">
      <c r="A446" s="111" t="s">
        <v>1382</v>
      </c>
      <c r="B446" s="112">
        <v>195000000</v>
      </c>
      <c r="C446" s="111" t="s">
        <v>49</v>
      </c>
      <c r="D446" s="111" t="s">
        <v>89</v>
      </c>
      <c r="E446" s="112">
        <v>191352230</v>
      </c>
      <c r="F446" s="112">
        <f t="shared" si="15"/>
        <v>3647770</v>
      </c>
      <c r="G446" s="112">
        <v>191352230</v>
      </c>
      <c r="H446" s="113">
        <v>100</v>
      </c>
    </row>
    <row r="447" spans="1:8" ht="24.75" thickBot="1" x14ac:dyDescent="0.3">
      <c r="A447" s="111" t="s">
        <v>1383</v>
      </c>
      <c r="B447" s="112">
        <v>100000000</v>
      </c>
      <c r="C447" s="111" t="s">
        <v>49</v>
      </c>
      <c r="D447" s="111" t="s">
        <v>89</v>
      </c>
      <c r="E447" s="112">
        <v>95492587</v>
      </c>
      <c r="F447" s="112">
        <f t="shared" si="15"/>
        <v>4507413</v>
      </c>
      <c r="G447" s="112">
        <v>95492587</v>
      </c>
      <c r="H447" s="113">
        <v>100</v>
      </c>
    </row>
    <row r="448" spans="1:8" ht="12.75" thickBot="1" x14ac:dyDescent="0.3">
      <c r="A448" s="111" t="s">
        <v>1384</v>
      </c>
      <c r="B448" s="112">
        <v>195000000</v>
      </c>
      <c r="C448" s="111" t="s">
        <v>49</v>
      </c>
      <c r="D448" s="111" t="s">
        <v>89</v>
      </c>
      <c r="E448" s="112">
        <v>180052000</v>
      </c>
      <c r="F448" s="112">
        <f t="shared" si="15"/>
        <v>14948000</v>
      </c>
      <c r="G448" s="112">
        <v>180052000</v>
      </c>
      <c r="H448" s="113">
        <v>100</v>
      </c>
    </row>
    <row r="449" spans="1:9" ht="24.75" thickBot="1" x14ac:dyDescent="0.3">
      <c r="A449" s="111" t="s">
        <v>1385</v>
      </c>
      <c r="B449" s="112">
        <v>195000000</v>
      </c>
      <c r="C449" s="111" t="s">
        <v>49</v>
      </c>
      <c r="D449" s="111" t="s">
        <v>89</v>
      </c>
      <c r="E449" s="112">
        <v>189771565</v>
      </c>
      <c r="F449" s="112">
        <f t="shared" si="15"/>
        <v>5228435</v>
      </c>
      <c r="G449" s="112">
        <v>189771565</v>
      </c>
      <c r="H449" s="113">
        <v>100</v>
      </c>
    </row>
    <row r="450" spans="1:9" ht="12.75" thickBot="1" x14ac:dyDescent="0.3">
      <c r="A450" s="111" t="s">
        <v>818</v>
      </c>
      <c r="B450" s="112">
        <f>160000000-111000000</f>
        <v>49000000</v>
      </c>
      <c r="C450" s="111" t="s">
        <v>19</v>
      </c>
      <c r="D450" s="111" t="s">
        <v>19</v>
      </c>
      <c r="E450" s="112">
        <v>0</v>
      </c>
      <c r="F450" s="112">
        <f t="shared" si="15"/>
        <v>18480000</v>
      </c>
      <c r="G450" s="112">
        <f>8115000+22405000</f>
        <v>30520000</v>
      </c>
      <c r="H450" s="113">
        <f>G450/B450*100</f>
        <v>62.285714285714292</v>
      </c>
    </row>
    <row r="451" spans="1:9" ht="24.75" thickBot="1" x14ac:dyDescent="0.3">
      <c r="A451" s="111" t="s">
        <v>1386</v>
      </c>
      <c r="B451" s="112">
        <v>100000000</v>
      </c>
      <c r="C451" s="111" t="s">
        <v>49</v>
      </c>
      <c r="D451" s="111" t="s">
        <v>89</v>
      </c>
      <c r="E451" s="112">
        <v>96792000</v>
      </c>
      <c r="F451" s="112">
        <v>96781000</v>
      </c>
      <c r="G451" s="112">
        <v>96792000</v>
      </c>
      <c r="H451" s="113">
        <v>100</v>
      </c>
    </row>
    <row r="452" spans="1:9" ht="24.75" thickBot="1" x14ac:dyDescent="0.3">
      <c r="A452" s="106" t="s">
        <v>1387</v>
      </c>
      <c r="B452" s="107">
        <f>SUM(B453:B488)</f>
        <v>6521500000</v>
      </c>
      <c r="C452" s="108"/>
      <c r="D452" s="108"/>
      <c r="E452" s="109"/>
      <c r="F452" s="107">
        <f t="shared" ref="F452:F515" si="16">B452-G452</f>
        <v>45548955</v>
      </c>
      <c r="G452" s="109">
        <f>SUM(G453:G488)</f>
        <v>6475951045</v>
      </c>
      <c r="H452" s="114">
        <f>AVERAGE(H453:H488)</f>
        <v>99.524440518256768</v>
      </c>
      <c r="I452" s="81">
        <f>1109431667-G452</f>
        <v>-5366519378</v>
      </c>
    </row>
    <row r="453" spans="1:9" ht="24.75" thickBot="1" x14ac:dyDescent="0.3">
      <c r="A453" s="111" t="s">
        <v>1388</v>
      </c>
      <c r="B453" s="112">
        <v>194000000</v>
      </c>
      <c r="C453" s="111" t="s">
        <v>49</v>
      </c>
      <c r="D453" s="111" t="s">
        <v>89</v>
      </c>
      <c r="E453" s="112">
        <v>194000000</v>
      </c>
      <c r="F453" s="112">
        <f t="shared" si="16"/>
        <v>0</v>
      </c>
      <c r="G453" s="112">
        <v>194000000</v>
      </c>
      <c r="H453" s="113">
        <v>100</v>
      </c>
    </row>
    <row r="454" spans="1:9" ht="24.75" thickBot="1" x14ac:dyDescent="0.3">
      <c r="A454" s="111" t="s">
        <v>1389</v>
      </c>
      <c r="B454" s="112">
        <v>194000000</v>
      </c>
      <c r="C454" s="111" t="s">
        <v>49</v>
      </c>
      <c r="D454" s="111" t="s">
        <v>89</v>
      </c>
      <c r="E454" s="112">
        <v>193103000</v>
      </c>
      <c r="F454" s="112">
        <f t="shared" si="16"/>
        <v>897000</v>
      </c>
      <c r="G454" s="112">
        <v>193103000</v>
      </c>
      <c r="H454" s="113">
        <v>100</v>
      </c>
    </row>
    <row r="455" spans="1:9" ht="24.75" thickBot="1" x14ac:dyDescent="0.3">
      <c r="A455" s="111" t="s">
        <v>1390</v>
      </c>
      <c r="B455" s="112">
        <v>193000000</v>
      </c>
      <c r="C455" s="111" t="s">
        <v>49</v>
      </c>
      <c r="D455" s="111" t="s">
        <v>89</v>
      </c>
      <c r="E455" s="112">
        <v>192223000</v>
      </c>
      <c r="F455" s="112">
        <f t="shared" si="16"/>
        <v>777000</v>
      </c>
      <c r="G455" s="112">
        <v>192223000</v>
      </c>
      <c r="H455" s="113">
        <v>100</v>
      </c>
    </row>
    <row r="456" spans="1:9" ht="24.75" thickBot="1" x14ac:dyDescent="0.3">
      <c r="A456" s="111" t="s">
        <v>1391</v>
      </c>
      <c r="B456" s="112">
        <v>192000000</v>
      </c>
      <c r="C456" s="111" t="s">
        <v>49</v>
      </c>
      <c r="D456" s="111" t="s">
        <v>89</v>
      </c>
      <c r="E456" s="112">
        <v>191500000</v>
      </c>
      <c r="F456" s="112">
        <f t="shared" si="16"/>
        <v>500000</v>
      </c>
      <c r="G456" s="112">
        <v>191500000</v>
      </c>
      <c r="H456" s="113">
        <v>100</v>
      </c>
    </row>
    <row r="457" spans="1:9" ht="24.75" thickBot="1" x14ac:dyDescent="0.3">
      <c r="A457" s="111" t="s">
        <v>1392</v>
      </c>
      <c r="B457" s="112">
        <v>193000000</v>
      </c>
      <c r="C457" s="111" t="s">
        <v>49</v>
      </c>
      <c r="D457" s="111" t="s">
        <v>89</v>
      </c>
      <c r="E457" s="112">
        <v>193000000</v>
      </c>
      <c r="F457" s="112">
        <f t="shared" si="16"/>
        <v>0</v>
      </c>
      <c r="G457" s="112">
        <v>193000000</v>
      </c>
      <c r="H457" s="113">
        <v>100</v>
      </c>
    </row>
    <row r="458" spans="1:9" ht="24.75" thickBot="1" x14ac:dyDescent="0.3">
      <c r="A458" s="111" t="s">
        <v>1393</v>
      </c>
      <c r="B458" s="112">
        <v>194000000</v>
      </c>
      <c r="C458" s="111" t="s">
        <v>49</v>
      </c>
      <c r="D458" s="111" t="s">
        <v>89</v>
      </c>
      <c r="E458" s="112">
        <v>194000000</v>
      </c>
      <c r="F458" s="112">
        <f t="shared" si="16"/>
        <v>0</v>
      </c>
      <c r="G458" s="112">
        <v>194000000</v>
      </c>
      <c r="H458" s="113">
        <v>100</v>
      </c>
    </row>
    <row r="459" spans="1:9" ht="12.75" thickBot="1" x14ac:dyDescent="0.3">
      <c r="A459" s="111" t="s">
        <v>1394</v>
      </c>
      <c r="B459" s="112">
        <v>194000000</v>
      </c>
      <c r="C459" s="111" t="s">
        <v>49</v>
      </c>
      <c r="D459" s="111" t="s">
        <v>89</v>
      </c>
      <c r="E459" s="112">
        <v>193442000</v>
      </c>
      <c r="F459" s="112">
        <f t="shared" si="16"/>
        <v>558000</v>
      </c>
      <c r="G459" s="112">
        <v>193442000</v>
      </c>
      <c r="H459" s="113">
        <v>100</v>
      </c>
    </row>
    <row r="460" spans="1:9" ht="24.75" thickBot="1" x14ac:dyDescent="0.3">
      <c r="A460" s="111" t="s">
        <v>1395</v>
      </c>
      <c r="B460" s="112">
        <v>193000000</v>
      </c>
      <c r="C460" s="111" t="s">
        <v>49</v>
      </c>
      <c r="D460" s="111" t="s">
        <v>89</v>
      </c>
      <c r="E460" s="112">
        <v>190000000</v>
      </c>
      <c r="F460" s="112">
        <f t="shared" si="16"/>
        <v>3000000</v>
      </c>
      <c r="G460" s="112">
        <v>190000000</v>
      </c>
      <c r="H460" s="113">
        <v>100</v>
      </c>
    </row>
    <row r="461" spans="1:9" ht="12.75" thickBot="1" x14ac:dyDescent="0.3">
      <c r="A461" s="111" t="s">
        <v>1396</v>
      </c>
      <c r="B461" s="112">
        <v>194000000</v>
      </c>
      <c r="C461" s="111" t="s">
        <v>49</v>
      </c>
      <c r="D461" s="111" t="s">
        <v>89</v>
      </c>
      <c r="E461" s="112">
        <v>194000000</v>
      </c>
      <c r="F461" s="112">
        <f t="shared" si="16"/>
        <v>0</v>
      </c>
      <c r="G461" s="112">
        <v>194000000</v>
      </c>
      <c r="H461" s="113">
        <v>100</v>
      </c>
    </row>
    <row r="462" spans="1:9" ht="24.75" thickBot="1" x14ac:dyDescent="0.3">
      <c r="A462" s="111" t="s">
        <v>1397</v>
      </c>
      <c r="B462" s="112">
        <v>193000000</v>
      </c>
      <c r="C462" s="111" t="s">
        <v>49</v>
      </c>
      <c r="D462" s="111" t="s">
        <v>89</v>
      </c>
      <c r="E462" s="112">
        <v>192986000</v>
      </c>
      <c r="F462" s="112">
        <f t="shared" si="16"/>
        <v>14000</v>
      </c>
      <c r="G462" s="112">
        <v>192986000</v>
      </c>
      <c r="H462" s="113">
        <v>100</v>
      </c>
    </row>
    <row r="463" spans="1:9" ht="24.75" thickBot="1" x14ac:dyDescent="0.3">
      <c r="A463" s="111" t="s">
        <v>1398</v>
      </c>
      <c r="B463" s="112">
        <v>192000000</v>
      </c>
      <c r="C463" s="111" t="s">
        <v>49</v>
      </c>
      <c r="D463" s="111" t="s">
        <v>89</v>
      </c>
      <c r="E463" s="112">
        <v>190918421</v>
      </c>
      <c r="F463" s="112">
        <f t="shared" si="16"/>
        <v>1081579</v>
      </c>
      <c r="G463" s="112">
        <v>190918421</v>
      </c>
      <c r="H463" s="113">
        <v>100</v>
      </c>
    </row>
    <row r="464" spans="1:9" ht="24.75" thickBot="1" x14ac:dyDescent="0.3">
      <c r="A464" s="111" t="s">
        <v>1399</v>
      </c>
      <c r="B464" s="112">
        <v>142000000</v>
      </c>
      <c r="C464" s="111" t="s">
        <v>49</v>
      </c>
      <c r="D464" s="111" t="s">
        <v>89</v>
      </c>
      <c r="E464" s="112">
        <v>140926566</v>
      </c>
      <c r="F464" s="112">
        <f t="shared" si="16"/>
        <v>1073434</v>
      </c>
      <c r="G464" s="112">
        <v>140926566</v>
      </c>
      <c r="H464" s="113">
        <v>100</v>
      </c>
    </row>
    <row r="465" spans="1:10" ht="24.75" thickBot="1" x14ac:dyDescent="0.3">
      <c r="A465" s="111" t="s">
        <v>1400</v>
      </c>
      <c r="B465" s="112">
        <v>193000000</v>
      </c>
      <c r="C465" s="111" t="s">
        <v>49</v>
      </c>
      <c r="D465" s="111" t="s">
        <v>89</v>
      </c>
      <c r="E465" s="112">
        <v>192273840</v>
      </c>
      <c r="F465" s="112">
        <f t="shared" si="16"/>
        <v>726160</v>
      </c>
      <c r="G465" s="112">
        <v>192273840</v>
      </c>
      <c r="H465" s="113">
        <v>100</v>
      </c>
    </row>
    <row r="466" spans="1:10" ht="24.75" thickBot="1" x14ac:dyDescent="0.3">
      <c r="A466" s="111" t="s">
        <v>1401</v>
      </c>
      <c r="B466" s="112">
        <v>143000000</v>
      </c>
      <c r="C466" s="111" t="s">
        <v>49</v>
      </c>
      <c r="D466" s="111" t="s">
        <v>89</v>
      </c>
      <c r="E466" s="112">
        <v>142169000</v>
      </c>
      <c r="F466" s="112">
        <f t="shared" si="16"/>
        <v>831000</v>
      </c>
      <c r="G466" s="112">
        <v>142169000</v>
      </c>
      <c r="H466" s="113">
        <v>100</v>
      </c>
    </row>
    <row r="467" spans="1:10" ht="24.75" thickBot="1" x14ac:dyDescent="0.3">
      <c r="A467" s="111" t="s">
        <v>1402</v>
      </c>
      <c r="B467" s="112">
        <v>193000000</v>
      </c>
      <c r="C467" s="111" t="s">
        <v>49</v>
      </c>
      <c r="D467" s="111" t="s">
        <v>89</v>
      </c>
      <c r="E467" s="112">
        <v>192435412</v>
      </c>
      <c r="F467" s="112">
        <f t="shared" si="16"/>
        <v>564588</v>
      </c>
      <c r="G467" s="112">
        <v>192435412</v>
      </c>
      <c r="H467" s="113">
        <v>100</v>
      </c>
    </row>
    <row r="468" spans="1:10" ht="24.75" thickBot="1" x14ac:dyDescent="0.3">
      <c r="A468" s="111" t="s">
        <v>1403</v>
      </c>
      <c r="B468" s="112">
        <v>193000000</v>
      </c>
      <c r="C468" s="111" t="s">
        <v>49</v>
      </c>
      <c r="D468" s="111" t="s">
        <v>89</v>
      </c>
      <c r="E468" s="112">
        <v>192536021</v>
      </c>
      <c r="F468" s="112">
        <f t="shared" si="16"/>
        <v>463979</v>
      </c>
      <c r="G468" s="112">
        <v>192536021</v>
      </c>
      <c r="H468" s="113">
        <v>100</v>
      </c>
    </row>
    <row r="469" spans="1:10" ht="24.75" thickBot="1" x14ac:dyDescent="0.3">
      <c r="A469" s="111" t="s">
        <v>1404</v>
      </c>
      <c r="B469" s="112">
        <v>193000000</v>
      </c>
      <c r="C469" s="111" t="s">
        <v>49</v>
      </c>
      <c r="D469" s="111" t="s">
        <v>89</v>
      </c>
      <c r="E469" s="112">
        <v>192479916</v>
      </c>
      <c r="F469" s="112">
        <f t="shared" si="16"/>
        <v>520084</v>
      </c>
      <c r="G469" s="112">
        <v>192479916</v>
      </c>
      <c r="H469" s="113">
        <v>100</v>
      </c>
    </row>
    <row r="470" spans="1:10" ht="24.75" thickBot="1" x14ac:dyDescent="0.3">
      <c r="A470" s="111" t="s">
        <v>1405</v>
      </c>
      <c r="B470" s="112">
        <v>193000000</v>
      </c>
      <c r="C470" s="111" t="s">
        <v>49</v>
      </c>
      <c r="D470" s="111" t="s">
        <v>89</v>
      </c>
      <c r="E470" s="112">
        <v>192895000</v>
      </c>
      <c r="F470" s="112">
        <f t="shared" si="16"/>
        <v>105000</v>
      </c>
      <c r="G470" s="112">
        <v>192895000</v>
      </c>
      <c r="H470" s="113">
        <v>100</v>
      </c>
    </row>
    <row r="471" spans="1:10" ht="24.75" thickBot="1" x14ac:dyDescent="0.3">
      <c r="A471" s="111" t="s">
        <v>1406</v>
      </c>
      <c r="B471" s="112">
        <v>193000000</v>
      </c>
      <c r="C471" s="111" t="s">
        <v>49</v>
      </c>
      <c r="D471" s="111" t="s">
        <v>89</v>
      </c>
      <c r="E471" s="112">
        <v>192751000</v>
      </c>
      <c r="F471" s="112">
        <f t="shared" si="16"/>
        <v>249000</v>
      </c>
      <c r="G471" s="112">
        <v>192751000</v>
      </c>
      <c r="H471" s="113">
        <v>100</v>
      </c>
      <c r="I471" s="60"/>
      <c r="J471" s="60"/>
    </row>
    <row r="472" spans="1:10" ht="24.75" thickBot="1" x14ac:dyDescent="0.3">
      <c r="A472" s="111" t="s">
        <v>1407</v>
      </c>
      <c r="B472" s="112">
        <v>193000000</v>
      </c>
      <c r="C472" s="111" t="s">
        <v>49</v>
      </c>
      <c r="D472" s="111" t="s">
        <v>89</v>
      </c>
      <c r="E472" s="112">
        <v>192409000</v>
      </c>
      <c r="F472" s="112">
        <f t="shared" si="16"/>
        <v>591000</v>
      </c>
      <c r="G472" s="112">
        <v>192409000</v>
      </c>
      <c r="H472" s="113">
        <v>100</v>
      </c>
      <c r="I472" s="60"/>
      <c r="J472" s="60"/>
    </row>
    <row r="473" spans="1:10" ht="12.75" thickBot="1" x14ac:dyDescent="0.3">
      <c r="A473" s="111" t="s">
        <v>1408</v>
      </c>
      <c r="B473" s="112">
        <v>193000000</v>
      </c>
      <c r="C473" s="111" t="s">
        <v>49</v>
      </c>
      <c r="D473" s="111" t="s">
        <v>89</v>
      </c>
      <c r="E473" s="112">
        <v>192726000</v>
      </c>
      <c r="F473" s="112">
        <f t="shared" si="16"/>
        <v>274000</v>
      </c>
      <c r="G473" s="112">
        <v>192726000</v>
      </c>
      <c r="H473" s="113">
        <v>100</v>
      </c>
      <c r="I473" s="60"/>
      <c r="J473" s="60"/>
    </row>
    <row r="474" spans="1:10" ht="12.75" thickBot="1" x14ac:dyDescent="0.3">
      <c r="A474" s="111" t="s">
        <v>1409</v>
      </c>
      <c r="B474" s="112">
        <v>194000000</v>
      </c>
      <c r="C474" s="111" t="s">
        <v>49</v>
      </c>
      <c r="D474" s="111" t="s">
        <v>89</v>
      </c>
      <c r="E474" s="112">
        <v>194000000</v>
      </c>
      <c r="F474" s="112">
        <f t="shared" si="16"/>
        <v>0</v>
      </c>
      <c r="G474" s="112">
        <v>194000000</v>
      </c>
      <c r="H474" s="113">
        <v>100</v>
      </c>
      <c r="I474" s="60"/>
      <c r="J474" s="60"/>
    </row>
    <row r="475" spans="1:10" ht="24.75" thickBot="1" x14ac:dyDescent="0.3">
      <c r="A475" s="111" t="s">
        <v>1410</v>
      </c>
      <c r="B475" s="112">
        <v>194000000</v>
      </c>
      <c r="C475" s="111" t="s">
        <v>49</v>
      </c>
      <c r="D475" s="111" t="s">
        <v>89</v>
      </c>
      <c r="E475" s="112">
        <v>193419760</v>
      </c>
      <c r="F475" s="112">
        <f t="shared" si="16"/>
        <v>580240</v>
      </c>
      <c r="G475" s="112">
        <v>193419760</v>
      </c>
      <c r="H475" s="113">
        <v>100</v>
      </c>
      <c r="I475" s="60"/>
      <c r="J475" s="60"/>
    </row>
    <row r="476" spans="1:10" ht="24.75" thickBot="1" x14ac:dyDescent="0.3">
      <c r="A476" s="111" t="s">
        <v>1411</v>
      </c>
      <c r="B476" s="112">
        <v>193000000</v>
      </c>
      <c r="C476" s="111" t="s">
        <v>49</v>
      </c>
      <c r="D476" s="111" t="s">
        <v>89</v>
      </c>
      <c r="E476" s="112">
        <v>192921160</v>
      </c>
      <c r="F476" s="112">
        <f t="shared" si="16"/>
        <v>78840</v>
      </c>
      <c r="G476" s="112">
        <v>192921160</v>
      </c>
      <c r="H476" s="113">
        <v>100</v>
      </c>
      <c r="I476" s="60"/>
      <c r="J476" s="60"/>
    </row>
    <row r="477" spans="1:10" ht="24.75" thickBot="1" x14ac:dyDescent="0.3">
      <c r="A477" s="111" t="s">
        <v>1412</v>
      </c>
      <c r="B477" s="112">
        <v>193000000</v>
      </c>
      <c r="C477" s="111" t="s">
        <v>49</v>
      </c>
      <c r="D477" s="111" t="s">
        <v>89</v>
      </c>
      <c r="E477" s="112">
        <v>192115901</v>
      </c>
      <c r="F477" s="112">
        <f t="shared" si="16"/>
        <v>884099</v>
      </c>
      <c r="G477" s="112">
        <v>192115901</v>
      </c>
      <c r="H477" s="113">
        <v>100</v>
      </c>
      <c r="I477" s="60"/>
      <c r="J477" s="60"/>
    </row>
    <row r="478" spans="1:10" ht="12.75" thickBot="1" x14ac:dyDescent="0.3">
      <c r="A478" s="111" t="s">
        <v>1413</v>
      </c>
      <c r="B478" s="112">
        <v>186000000</v>
      </c>
      <c r="C478" s="111" t="s">
        <v>49</v>
      </c>
      <c r="D478" s="111" t="s">
        <v>89</v>
      </c>
      <c r="E478" s="112">
        <v>185716500</v>
      </c>
      <c r="F478" s="112">
        <f t="shared" si="16"/>
        <v>283500</v>
      </c>
      <c r="G478" s="112">
        <v>185716500</v>
      </c>
      <c r="H478" s="113">
        <v>100</v>
      </c>
      <c r="I478" s="60"/>
      <c r="J478" s="60"/>
    </row>
    <row r="479" spans="1:10" ht="12.75" thickBot="1" x14ac:dyDescent="0.3">
      <c r="A479" s="111" t="s">
        <v>1414</v>
      </c>
      <c r="B479" s="112">
        <v>192000000</v>
      </c>
      <c r="C479" s="111" t="s">
        <v>49</v>
      </c>
      <c r="D479" s="111" t="s">
        <v>89</v>
      </c>
      <c r="E479" s="112">
        <v>191624566</v>
      </c>
      <c r="F479" s="112">
        <f t="shared" si="16"/>
        <v>375434</v>
      </c>
      <c r="G479" s="112">
        <v>191624566</v>
      </c>
      <c r="H479" s="113">
        <v>100</v>
      </c>
      <c r="I479" s="60"/>
      <c r="J479" s="60"/>
    </row>
    <row r="480" spans="1:10" ht="12.75" thickBot="1" x14ac:dyDescent="0.3">
      <c r="A480" s="111" t="s">
        <v>1415</v>
      </c>
      <c r="B480" s="112">
        <v>124000000</v>
      </c>
      <c r="C480" s="111" t="s">
        <v>49</v>
      </c>
      <c r="D480" s="111" t="s">
        <v>89</v>
      </c>
      <c r="E480" s="112">
        <v>123472768</v>
      </c>
      <c r="F480" s="112">
        <f t="shared" si="16"/>
        <v>527232</v>
      </c>
      <c r="G480" s="112">
        <v>123472768</v>
      </c>
      <c r="H480" s="113">
        <v>100</v>
      </c>
      <c r="I480" s="60"/>
      <c r="J480" s="60"/>
    </row>
    <row r="481" spans="1:10" ht="12.75" thickBot="1" x14ac:dyDescent="0.3">
      <c r="A481" s="111" t="s">
        <v>1416</v>
      </c>
      <c r="B481" s="112">
        <v>194000000</v>
      </c>
      <c r="C481" s="111" t="s">
        <v>49</v>
      </c>
      <c r="D481" s="111" t="s">
        <v>89</v>
      </c>
      <c r="E481" s="112">
        <v>193296000</v>
      </c>
      <c r="F481" s="112">
        <f t="shared" si="16"/>
        <v>704000</v>
      </c>
      <c r="G481" s="112">
        <v>193296000</v>
      </c>
      <c r="H481" s="113">
        <v>100</v>
      </c>
      <c r="I481" s="60"/>
      <c r="J481" s="60"/>
    </row>
    <row r="482" spans="1:10" ht="12.75" thickBot="1" x14ac:dyDescent="0.3">
      <c r="A482" s="111" t="s">
        <v>1417</v>
      </c>
      <c r="B482" s="112">
        <v>193000000</v>
      </c>
      <c r="C482" s="111" t="s">
        <v>49</v>
      </c>
      <c r="D482" s="111" t="s">
        <v>89</v>
      </c>
      <c r="E482" s="112">
        <v>192497547</v>
      </c>
      <c r="F482" s="112">
        <f t="shared" si="16"/>
        <v>502453</v>
      </c>
      <c r="G482" s="112">
        <v>192497547</v>
      </c>
      <c r="H482" s="113">
        <v>100</v>
      </c>
      <c r="I482" s="60"/>
      <c r="J482" s="60"/>
    </row>
    <row r="483" spans="1:10" ht="12.75" thickBot="1" x14ac:dyDescent="0.3">
      <c r="A483" s="111" t="s">
        <v>1418</v>
      </c>
      <c r="B483" s="112">
        <v>192000000</v>
      </c>
      <c r="C483" s="111" t="s">
        <v>49</v>
      </c>
      <c r="D483" s="111" t="s">
        <v>89</v>
      </c>
      <c r="E483" s="112">
        <v>191493667</v>
      </c>
      <c r="F483" s="112">
        <f t="shared" si="16"/>
        <v>506333</v>
      </c>
      <c r="G483" s="112">
        <v>191493667</v>
      </c>
      <c r="H483" s="113">
        <v>100</v>
      </c>
      <c r="I483" s="60"/>
      <c r="J483" s="60"/>
    </row>
    <row r="484" spans="1:10" ht="12.75" thickBot="1" x14ac:dyDescent="0.3">
      <c r="A484" s="111" t="s">
        <v>1419</v>
      </c>
      <c r="B484" s="112">
        <v>141500000</v>
      </c>
      <c r="C484" s="111" t="s">
        <v>19</v>
      </c>
      <c r="D484" s="111" t="s">
        <v>19</v>
      </c>
      <c r="E484" s="112">
        <v>0</v>
      </c>
      <c r="F484" s="112">
        <f t="shared" si="16"/>
        <v>24225000</v>
      </c>
      <c r="G484" s="112">
        <f>2285667+23184333+4925000+28190000+47000000+11690000</f>
        <v>117275000</v>
      </c>
      <c r="H484" s="113">
        <f>G484/B484*100</f>
        <v>82.879858657243815</v>
      </c>
      <c r="I484" s="60"/>
      <c r="J484" s="60"/>
    </row>
    <row r="485" spans="1:10" ht="12.75" thickBot="1" x14ac:dyDescent="0.3">
      <c r="A485" s="111" t="s">
        <v>1420</v>
      </c>
      <c r="B485" s="112">
        <v>195000000</v>
      </c>
      <c r="C485" s="111" t="s">
        <v>49</v>
      </c>
      <c r="D485" s="111" t="s">
        <v>89</v>
      </c>
      <c r="E485" s="112">
        <v>193123000</v>
      </c>
      <c r="F485" s="112">
        <f t="shared" si="16"/>
        <v>1877000</v>
      </c>
      <c r="G485" s="112">
        <v>193123000</v>
      </c>
      <c r="H485" s="113">
        <v>100</v>
      </c>
      <c r="I485" s="60"/>
      <c r="J485" s="60"/>
    </row>
    <row r="486" spans="1:10" ht="12.75" thickBot="1" x14ac:dyDescent="0.3">
      <c r="A486" s="111" t="s">
        <v>1421</v>
      </c>
      <c r="B486" s="112">
        <v>100000000</v>
      </c>
      <c r="C486" s="111" t="s">
        <v>49</v>
      </c>
      <c r="D486" s="111" t="s">
        <v>89</v>
      </c>
      <c r="E486" s="112">
        <v>99100000</v>
      </c>
      <c r="F486" s="112">
        <f t="shared" si="16"/>
        <v>900000</v>
      </c>
      <c r="G486" s="112">
        <v>99100000</v>
      </c>
      <c r="H486" s="113">
        <v>100</v>
      </c>
      <c r="I486" s="60"/>
      <c r="J486" s="60"/>
    </row>
    <row r="487" spans="1:10" ht="12.75" thickBot="1" x14ac:dyDescent="0.3">
      <c r="A487" s="111" t="s">
        <v>1422</v>
      </c>
      <c r="B487" s="112">
        <v>100000000</v>
      </c>
      <c r="C487" s="111" t="s">
        <v>49</v>
      </c>
      <c r="D487" s="111" t="s">
        <v>89</v>
      </c>
      <c r="E487" s="112">
        <v>99074000</v>
      </c>
      <c r="F487" s="112">
        <f t="shared" si="16"/>
        <v>926000</v>
      </c>
      <c r="G487" s="112">
        <v>99074000</v>
      </c>
      <c r="H487" s="113">
        <v>100</v>
      </c>
      <c r="I487" s="60"/>
      <c r="J487" s="60"/>
    </row>
    <row r="488" spans="1:10" ht="24.75" thickBot="1" x14ac:dyDescent="0.3">
      <c r="A488" s="111" t="s">
        <v>1423</v>
      </c>
      <c r="B488" s="112">
        <v>175000000</v>
      </c>
      <c r="C488" s="111" t="s">
        <v>49</v>
      </c>
      <c r="D488" s="111" t="s">
        <v>89</v>
      </c>
      <c r="E488" s="112">
        <v>174047000</v>
      </c>
      <c r="F488" s="112">
        <f t="shared" si="16"/>
        <v>953000</v>
      </c>
      <c r="G488" s="112">
        <v>174047000</v>
      </c>
      <c r="H488" s="113">
        <v>100</v>
      </c>
      <c r="I488" s="60"/>
      <c r="J488" s="60"/>
    </row>
    <row r="489" spans="1:10" ht="24.75" thickBot="1" x14ac:dyDescent="0.3">
      <c r="A489" s="106" t="s">
        <v>1424</v>
      </c>
      <c r="B489" s="107">
        <v>400000000</v>
      </c>
      <c r="C489" s="108"/>
      <c r="D489" s="108"/>
      <c r="E489" s="109"/>
      <c r="F489" s="107">
        <f t="shared" si="16"/>
        <v>11992000</v>
      </c>
      <c r="G489" s="109">
        <f>SUM(G490:G491)</f>
        <v>388008000</v>
      </c>
      <c r="H489" s="114">
        <f>AVERAGE(H490:H491)</f>
        <v>100</v>
      </c>
      <c r="I489" s="60"/>
      <c r="J489" s="60"/>
    </row>
    <row r="490" spans="1:10" ht="12.75" thickBot="1" x14ac:dyDescent="0.3">
      <c r="A490" s="111" t="s">
        <v>1425</v>
      </c>
      <c r="B490" s="112">
        <v>200000000</v>
      </c>
      <c r="C490" s="111" t="s">
        <v>49</v>
      </c>
      <c r="D490" s="111" t="s">
        <v>89</v>
      </c>
      <c r="E490" s="112">
        <v>196377000</v>
      </c>
      <c r="F490" s="112">
        <f t="shared" si="16"/>
        <v>3623000</v>
      </c>
      <c r="G490" s="112">
        <v>196377000</v>
      </c>
      <c r="H490" s="113">
        <v>100</v>
      </c>
      <c r="I490" s="60"/>
      <c r="J490" s="60"/>
    </row>
    <row r="491" spans="1:10" ht="12.75" thickBot="1" x14ac:dyDescent="0.3">
      <c r="A491" s="111" t="s">
        <v>1426</v>
      </c>
      <c r="B491" s="112">
        <v>200000000</v>
      </c>
      <c r="C491" s="111" t="s">
        <v>49</v>
      </c>
      <c r="D491" s="111" t="s">
        <v>89</v>
      </c>
      <c r="E491" s="112">
        <v>191631000</v>
      </c>
      <c r="F491" s="112">
        <f t="shared" si="16"/>
        <v>8369000</v>
      </c>
      <c r="G491" s="112">
        <v>191631000</v>
      </c>
      <c r="H491" s="113">
        <v>100</v>
      </c>
      <c r="J491" s="60"/>
    </row>
    <row r="492" spans="1:10" ht="24.75" thickBot="1" x14ac:dyDescent="0.3">
      <c r="A492" s="106" t="s">
        <v>1427</v>
      </c>
      <c r="B492" s="107">
        <f>SUM(B493:B685)</f>
        <v>35690875000</v>
      </c>
      <c r="C492" s="108"/>
      <c r="D492" s="108"/>
      <c r="E492" s="109"/>
      <c r="F492" s="107">
        <f t="shared" si="16"/>
        <v>324409104</v>
      </c>
      <c r="G492" s="109">
        <f>SUM(G493:G685)</f>
        <v>35366465896</v>
      </c>
      <c r="H492" s="114">
        <f>AVERAGE(H493:H685)</f>
        <v>99.325198252126512</v>
      </c>
      <c r="I492" s="81">
        <f>27342229846-G492</f>
        <v>-8024236050</v>
      </c>
      <c r="J492" s="60"/>
    </row>
    <row r="493" spans="1:10" ht="24.75" thickBot="1" x14ac:dyDescent="0.3">
      <c r="A493" s="111" t="s">
        <v>1428</v>
      </c>
      <c r="B493" s="112">
        <v>192000000</v>
      </c>
      <c r="C493" s="111" t="s">
        <v>49</v>
      </c>
      <c r="D493" s="111" t="s">
        <v>89</v>
      </c>
      <c r="E493" s="112">
        <v>191523000</v>
      </c>
      <c r="F493" s="112">
        <f t="shared" si="16"/>
        <v>477000</v>
      </c>
      <c r="G493" s="112">
        <v>191523000</v>
      </c>
      <c r="H493" s="113">
        <v>100</v>
      </c>
      <c r="J493" s="60"/>
    </row>
    <row r="494" spans="1:10" ht="24.75" thickBot="1" x14ac:dyDescent="0.3">
      <c r="A494" s="111" t="s">
        <v>1429</v>
      </c>
      <c r="B494" s="112">
        <v>191500000</v>
      </c>
      <c r="C494" s="111" t="s">
        <v>49</v>
      </c>
      <c r="D494" s="111" t="s">
        <v>89</v>
      </c>
      <c r="E494" s="112">
        <v>191484000</v>
      </c>
      <c r="F494" s="112">
        <f t="shared" si="16"/>
        <v>16000</v>
      </c>
      <c r="G494" s="112">
        <v>191484000</v>
      </c>
      <c r="H494" s="113">
        <v>100</v>
      </c>
      <c r="J494" s="60"/>
    </row>
    <row r="495" spans="1:10" ht="24.75" thickBot="1" x14ac:dyDescent="0.3">
      <c r="A495" s="111" t="s">
        <v>1430</v>
      </c>
      <c r="B495" s="112">
        <v>189400000</v>
      </c>
      <c r="C495" s="111" t="s">
        <v>49</v>
      </c>
      <c r="D495" s="111" t="s">
        <v>89</v>
      </c>
      <c r="E495" s="112">
        <v>189350000</v>
      </c>
      <c r="F495" s="112">
        <f t="shared" si="16"/>
        <v>50000</v>
      </c>
      <c r="G495" s="112">
        <v>189350000</v>
      </c>
      <c r="H495" s="113">
        <v>100</v>
      </c>
      <c r="J495" s="60"/>
    </row>
    <row r="496" spans="1:10" ht="12.75" thickBot="1" x14ac:dyDescent="0.3">
      <c r="A496" s="111" t="s">
        <v>1431</v>
      </c>
      <c r="B496" s="112">
        <v>191000000</v>
      </c>
      <c r="C496" s="111" t="s">
        <v>49</v>
      </c>
      <c r="D496" s="111" t="s">
        <v>89</v>
      </c>
      <c r="E496" s="112">
        <v>190995000</v>
      </c>
      <c r="F496" s="112">
        <f t="shared" si="16"/>
        <v>5000</v>
      </c>
      <c r="G496" s="112">
        <v>190995000</v>
      </c>
      <c r="H496" s="113">
        <v>100</v>
      </c>
      <c r="J496" s="60"/>
    </row>
    <row r="497" spans="1:10" ht="12.75" thickBot="1" x14ac:dyDescent="0.3">
      <c r="A497" s="111" t="s">
        <v>1432</v>
      </c>
      <c r="B497" s="112">
        <v>191000000</v>
      </c>
      <c r="C497" s="111" t="s">
        <v>49</v>
      </c>
      <c r="D497" s="111" t="s">
        <v>89</v>
      </c>
      <c r="E497" s="112">
        <v>190699000</v>
      </c>
      <c r="F497" s="112">
        <f t="shared" si="16"/>
        <v>301000</v>
      </c>
      <c r="G497" s="112">
        <v>190699000</v>
      </c>
      <c r="H497" s="113">
        <v>100</v>
      </c>
      <c r="J497" s="60"/>
    </row>
    <row r="498" spans="1:10" ht="12.75" thickBot="1" x14ac:dyDescent="0.3">
      <c r="A498" s="111" t="s">
        <v>1433</v>
      </c>
      <c r="B498" s="112">
        <v>191000000</v>
      </c>
      <c r="C498" s="111" t="s">
        <v>49</v>
      </c>
      <c r="D498" s="111" t="s">
        <v>89</v>
      </c>
      <c r="E498" s="112">
        <v>190647000</v>
      </c>
      <c r="F498" s="112">
        <f t="shared" si="16"/>
        <v>353000</v>
      </c>
      <c r="G498" s="112">
        <v>190647000</v>
      </c>
      <c r="H498" s="113">
        <v>100</v>
      </c>
      <c r="J498" s="60"/>
    </row>
    <row r="499" spans="1:10" ht="24.75" thickBot="1" x14ac:dyDescent="0.3">
      <c r="A499" s="111" t="s">
        <v>1434</v>
      </c>
      <c r="B499" s="112">
        <v>191100000</v>
      </c>
      <c r="C499" s="111" t="s">
        <v>49</v>
      </c>
      <c r="D499" s="111" t="s">
        <v>89</v>
      </c>
      <c r="E499" s="112">
        <v>191073000</v>
      </c>
      <c r="F499" s="112">
        <f t="shared" si="16"/>
        <v>27000</v>
      </c>
      <c r="G499" s="112">
        <v>191073000</v>
      </c>
      <c r="H499" s="113">
        <v>100</v>
      </c>
      <c r="J499" s="60"/>
    </row>
    <row r="500" spans="1:10" ht="12.75" thickBot="1" x14ac:dyDescent="0.3">
      <c r="A500" s="111" t="s">
        <v>1435</v>
      </c>
      <c r="B500" s="112">
        <v>191600000</v>
      </c>
      <c r="C500" s="111" t="s">
        <v>49</v>
      </c>
      <c r="D500" s="111" t="s">
        <v>89</v>
      </c>
      <c r="E500" s="112">
        <v>191533000</v>
      </c>
      <c r="F500" s="112">
        <f t="shared" si="16"/>
        <v>67000</v>
      </c>
      <c r="G500" s="112">
        <v>191533000</v>
      </c>
      <c r="H500" s="113">
        <v>100</v>
      </c>
      <c r="J500" s="60"/>
    </row>
    <row r="501" spans="1:10" ht="24.75" thickBot="1" x14ac:dyDescent="0.3">
      <c r="A501" s="111" t="s">
        <v>1436</v>
      </c>
      <c r="B501" s="112">
        <v>189900000</v>
      </c>
      <c r="C501" s="111" t="s">
        <v>49</v>
      </c>
      <c r="D501" s="111" t="s">
        <v>89</v>
      </c>
      <c r="E501" s="112">
        <v>189817000</v>
      </c>
      <c r="F501" s="112">
        <f t="shared" si="16"/>
        <v>83000</v>
      </c>
      <c r="G501" s="112">
        <v>189817000</v>
      </c>
      <c r="H501" s="113">
        <v>100</v>
      </c>
      <c r="J501" s="60"/>
    </row>
    <row r="502" spans="1:10" ht="24.75" thickBot="1" x14ac:dyDescent="0.3">
      <c r="A502" s="111" t="s">
        <v>1437</v>
      </c>
      <c r="B502" s="112">
        <v>191000000</v>
      </c>
      <c r="C502" s="111" t="s">
        <v>49</v>
      </c>
      <c r="D502" s="111" t="s">
        <v>89</v>
      </c>
      <c r="E502" s="112">
        <v>190995000</v>
      </c>
      <c r="F502" s="112">
        <f t="shared" si="16"/>
        <v>5000</v>
      </c>
      <c r="G502" s="112">
        <v>190995000</v>
      </c>
      <c r="H502" s="113">
        <v>100</v>
      </c>
      <c r="J502" s="60"/>
    </row>
    <row r="503" spans="1:10" ht="24.75" thickBot="1" x14ac:dyDescent="0.3">
      <c r="A503" s="111" t="s">
        <v>1438</v>
      </c>
      <c r="B503" s="112">
        <v>190200000</v>
      </c>
      <c r="C503" s="111" t="s">
        <v>49</v>
      </c>
      <c r="D503" s="111" t="s">
        <v>89</v>
      </c>
      <c r="E503" s="112">
        <v>190193000</v>
      </c>
      <c r="F503" s="112">
        <f t="shared" si="16"/>
        <v>7000</v>
      </c>
      <c r="G503" s="112">
        <v>190193000</v>
      </c>
      <c r="H503" s="113">
        <v>100</v>
      </c>
      <c r="J503" s="60"/>
    </row>
    <row r="504" spans="1:10" ht="24.75" thickBot="1" x14ac:dyDescent="0.3">
      <c r="A504" s="111" t="s">
        <v>1439</v>
      </c>
      <c r="B504" s="112">
        <v>191600000</v>
      </c>
      <c r="C504" s="111" t="s">
        <v>49</v>
      </c>
      <c r="D504" s="111" t="s">
        <v>89</v>
      </c>
      <c r="E504" s="112">
        <v>191600000</v>
      </c>
      <c r="F504" s="112">
        <f t="shared" si="16"/>
        <v>0</v>
      </c>
      <c r="G504" s="112">
        <v>191600000</v>
      </c>
      <c r="H504" s="113">
        <v>100</v>
      </c>
      <c r="J504" s="60"/>
    </row>
    <row r="505" spans="1:10" ht="24.75" thickBot="1" x14ac:dyDescent="0.3">
      <c r="A505" s="111" t="s">
        <v>1440</v>
      </c>
      <c r="B505" s="112">
        <v>190000000</v>
      </c>
      <c r="C505" s="111" t="s">
        <v>49</v>
      </c>
      <c r="D505" s="111" t="s">
        <v>89</v>
      </c>
      <c r="E505" s="112">
        <v>189903000</v>
      </c>
      <c r="F505" s="112">
        <f t="shared" si="16"/>
        <v>97000</v>
      </c>
      <c r="G505" s="112">
        <v>189903000</v>
      </c>
      <c r="H505" s="113">
        <v>100</v>
      </c>
      <c r="J505" s="60"/>
    </row>
    <row r="506" spans="1:10" ht="24.75" thickBot="1" x14ac:dyDescent="0.3">
      <c r="A506" s="111" t="s">
        <v>1441</v>
      </c>
      <c r="B506" s="112">
        <v>190000000</v>
      </c>
      <c r="C506" s="111" t="s">
        <v>49</v>
      </c>
      <c r="D506" s="111" t="s">
        <v>89</v>
      </c>
      <c r="E506" s="112">
        <v>189955000</v>
      </c>
      <c r="F506" s="112">
        <f t="shared" si="16"/>
        <v>45000</v>
      </c>
      <c r="G506" s="112">
        <v>189955000</v>
      </c>
      <c r="H506" s="113">
        <v>100</v>
      </c>
      <c r="J506" s="60"/>
    </row>
    <row r="507" spans="1:10" ht="24.75" thickBot="1" x14ac:dyDescent="0.3">
      <c r="A507" s="111" t="s">
        <v>1442</v>
      </c>
      <c r="B507" s="112">
        <v>190800000</v>
      </c>
      <c r="C507" s="111" t="s">
        <v>49</v>
      </c>
      <c r="D507" s="111" t="s">
        <v>89</v>
      </c>
      <c r="E507" s="112">
        <v>190702000</v>
      </c>
      <c r="F507" s="112">
        <f t="shared" si="16"/>
        <v>98000</v>
      </c>
      <c r="G507" s="112">
        <v>190702000</v>
      </c>
      <c r="H507" s="113">
        <v>100</v>
      </c>
      <c r="I507" s="60"/>
      <c r="J507" s="60"/>
    </row>
    <row r="508" spans="1:10" ht="24.75" thickBot="1" x14ac:dyDescent="0.3">
      <c r="A508" s="111" t="s">
        <v>1443</v>
      </c>
      <c r="B508" s="112">
        <v>192000000</v>
      </c>
      <c r="C508" s="111" t="s">
        <v>49</v>
      </c>
      <c r="D508" s="111" t="s">
        <v>89</v>
      </c>
      <c r="E508" s="112">
        <v>191911000</v>
      </c>
      <c r="F508" s="112">
        <f t="shared" si="16"/>
        <v>89000</v>
      </c>
      <c r="G508" s="112">
        <v>191911000</v>
      </c>
      <c r="H508" s="113">
        <v>100</v>
      </c>
      <c r="I508" s="60"/>
      <c r="J508" s="60"/>
    </row>
    <row r="509" spans="1:10" ht="24.75" thickBot="1" x14ac:dyDescent="0.3">
      <c r="A509" s="111" t="s">
        <v>1444</v>
      </c>
      <c r="B509" s="112">
        <v>191000000</v>
      </c>
      <c r="C509" s="111" t="s">
        <v>49</v>
      </c>
      <c r="D509" s="111" t="s">
        <v>89</v>
      </c>
      <c r="E509" s="112">
        <v>190932000</v>
      </c>
      <c r="F509" s="112">
        <f t="shared" si="16"/>
        <v>68000</v>
      </c>
      <c r="G509" s="112">
        <v>190932000</v>
      </c>
      <c r="H509" s="113">
        <v>100</v>
      </c>
      <c r="I509" s="60"/>
      <c r="J509" s="60"/>
    </row>
    <row r="510" spans="1:10" ht="24.75" thickBot="1" x14ac:dyDescent="0.3">
      <c r="A510" s="111" t="s">
        <v>1445</v>
      </c>
      <c r="B510" s="112">
        <v>191400000</v>
      </c>
      <c r="C510" s="111" t="s">
        <v>49</v>
      </c>
      <c r="D510" s="111" t="s">
        <v>89</v>
      </c>
      <c r="E510" s="112">
        <v>191372000</v>
      </c>
      <c r="F510" s="112">
        <f t="shared" si="16"/>
        <v>28000</v>
      </c>
      <c r="G510" s="112">
        <v>191372000</v>
      </c>
      <c r="H510" s="113">
        <v>100</v>
      </c>
      <c r="I510" s="60"/>
      <c r="J510" s="60"/>
    </row>
    <row r="511" spans="1:10" ht="24.75" thickBot="1" x14ac:dyDescent="0.3">
      <c r="A511" s="111" t="s">
        <v>1446</v>
      </c>
      <c r="B511" s="112">
        <v>191500000</v>
      </c>
      <c r="C511" s="111" t="s">
        <v>49</v>
      </c>
      <c r="D511" s="111" t="s">
        <v>89</v>
      </c>
      <c r="E511" s="112">
        <v>191442000</v>
      </c>
      <c r="F511" s="112">
        <f t="shared" si="16"/>
        <v>58000</v>
      </c>
      <c r="G511" s="112">
        <v>191442000</v>
      </c>
      <c r="H511" s="113">
        <v>100</v>
      </c>
      <c r="I511" s="60"/>
      <c r="J511" s="60"/>
    </row>
    <row r="512" spans="1:10" ht="24.75" thickBot="1" x14ac:dyDescent="0.3">
      <c r="A512" s="111" t="s">
        <v>1447</v>
      </c>
      <c r="B512" s="112">
        <v>191100000</v>
      </c>
      <c r="C512" s="111" t="s">
        <v>49</v>
      </c>
      <c r="D512" s="111" t="s">
        <v>89</v>
      </c>
      <c r="E512" s="112">
        <v>191085000</v>
      </c>
      <c r="F512" s="112">
        <f t="shared" si="16"/>
        <v>15000</v>
      </c>
      <c r="G512" s="112">
        <v>191085000</v>
      </c>
      <c r="H512" s="113">
        <v>100</v>
      </c>
      <c r="I512" s="60"/>
      <c r="J512" s="60"/>
    </row>
    <row r="513" spans="1:10" ht="24.75" thickBot="1" x14ac:dyDescent="0.3">
      <c r="A513" s="111" t="s">
        <v>1448</v>
      </c>
      <c r="B513" s="112">
        <v>192000000</v>
      </c>
      <c r="C513" s="111" t="s">
        <v>49</v>
      </c>
      <c r="D513" s="111" t="s">
        <v>89</v>
      </c>
      <c r="E513" s="112">
        <v>191902000</v>
      </c>
      <c r="F513" s="112">
        <f t="shared" si="16"/>
        <v>98000</v>
      </c>
      <c r="G513" s="112">
        <v>191902000</v>
      </c>
      <c r="H513" s="113">
        <v>100</v>
      </c>
      <c r="I513" s="60"/>
      <c r="J513" s="60"/>
    </row>
    <row r="514" spans="1:10" ht="12.75" thickBot="1" x14ac:dyDescent="0.3">
      <c r="A514" s="111" t="s">
        <v>1449</v>
      </c>
      <c r="B514" s="112">
        <v>191281000</v>
      </c>
      <c r="C514" s="111" t="s">
        <v>49</v>
      </c>
      <c r="D514" s="111" t="s">
        <v>89</v>
      </c>
      <c r="E514" s="112">
        <v>191281000</v>
      </c>
      <c r="F514" s="112">
        <f t="shared" si="16"/>
        <v>0</v>
      </c>
      <c r="G514" s="112">
        <v>191281000</v>
      </c>
      <c r="H514" s="113">
        <v>100</v>
      </c>
      <c r="I514" s="60"/>
      <c r="J514" s="60"/>
    </row>
    <row r="515" spans="1:10" ht="24.75" thickBot="1" x14ac:dyDescent="0.3">
      <c r="A515" s="111" t="s">
        <v>1450</v>
      </c>
      <c r="B515" s="112">
        <v>190493000</v>
      </c>
      <c r="C515" s="111" t="s">
        <v>49</v>
      </c>
      <c r="D515" s="111" t="s">
        <v>89</v>
      </c>
      <c r="E515" s="112">
        <v>190493000</v>
      </c>
      <c r="F515" s="112">
        <f t="shared" si="16"/>
        <v>0</v>
      </c>
      <c r="G515" s="112">
        <v>190493000</v>
      </c>
      <c r="H515" s="113">
        <v>100</v>
      </c>
      <c r="I515" s="60"/>
      <c r="J515" s="60"/>
    </row>
    <row r="516" spans="1:10" ht="24.75" thickBot="1" x14ac:dyDescent="0.3">
      <c r="A516" s="111" t="s">
        <v>1451</v>
      </c>
      <c r="B516" s="112">
        <v>191043000</v>
      </c>
      <c r="C516" s="111" t="s">
        <v>49</v>
      </c>
      <c r="D516" s="111" t="s">
        <v>89</v>
      </c>
      <c r="E516" s="112">
        <v>191043000</v>
      </c>
      <c r="F516" s="112">
        <f t="shared" ref="F516:F579" si="17">B516-G516</f>
        <v>0</v>
      </c>
      <c r="G516" s="112">
        <v>191043000</v>
      </c>
      <c r="H516" s="113">
        <v>100</v>
      </c>
      <c r="I516" s="60"/>
      <c r="J516" s="60"/>
    </row>
    <row r="517" spans="1:10" ht="24.75" thickBot="1" x14ac:dyDescent="0.3">
      <c r="A517" s="111" t="s">
        <v>1452</v>
      </c>
      <c r="B517" s="112">
        <v>191337000</v>
      </c>
      <c r="C517" s="111" t="s">
        <v>49</v>
      </c>
      <c r="D517" s="111" t="s">
        <v>89</v>
      </c>
      <c r="E517" s="112">
        <v>191337000</v>
      </c>
      <c r="F517" s="112">
        <f t="shared" si="17"/>
        <v>0</v>
      </c>
      <c r="G517" s="112">
        <v>191337000</v>
      </c>
      <c r="H517" s="113">
        <v>100</v>
      </c>
      <c r="I517" s="60"/>
      <c r="J517" s="60"/>
    </row>
    <row r="518" spans="1:10" ht="24.75" thickBot="1" x14ac:dyDescent="0.3">
      <c r="A518" s="111" t="s">
        <v>1453</v>
      </c>
      <c r="B518" s="112">
        <v>191722000</v>
      </c>
      <c r="C518" s="111" t="s">
        <v>49</v>
      </c>
      <c r="D518" s="111" t="s">
        <v>89</v>
      </c>
      <c r="E518" s="112">
        <v>191722000</v>
      </c>
      <c r="F518" s="112">
        <f t="shared" si="17"/>
        <v>0</v>
      </c>
      <c r="G518" s="112">
        <v>191722000</v>
      </c>
      <c r="H518" s="113">
        <v>100</v>
      </c>
      <c r="I518" s="60"/>
      <c r="J518" s="60"/>
    </row>
    <row r="519" spans="1:10" ht="24.75" thickBot="1" x14ac:dyDescent="0.3">
      <c r="A519" s="111" t="s">
        <v>1454</v>
      </c>
      <c r="B519" s="112">
        <v>191961000</v>
      </c>
      <c r="C519" s="111" t="s">
        <v>49</v>
      </c>
      <c r="D519" s="111" t="s">
        <v>89</v>
      </c>
      <c r="E519" s="112">
        <v>191961000</v>
      </c>
      <c r="F519" s="112">
        <f t="shared" si="17"/>
        <v>0</v>
      </c>
      <c r="G519" s="112">
        <v>191961000</v>
      </c>
      <c r="H519" s="113">
        <v>100</v>
      </c>
      <c r="I519" s="60"/>
      <c r="J519" s="60"/>
    </row>
    <row r="520" spans="1:10" ht="24.75" thickBot="1" x14ac:dyDescent="0.3">
      <c r="A520" s="111" t="s">
        <v>1455</v>
      </c>
      <c r="B520" s="112">
        <v>191851000</v>
      </c>
      <c r="C520" s="111" t="s">
        <v>49</v>
      </c>
      <c r="D520" s="111" t="s">
        <v>89</v>
      </c>
      <c r="E520" s="112">
        <v>191851000</v>
      </c>
      <c r="F520" s="112">
        <f t="shared" si="17"/>
        <v>0</v>
      </c>
      <c r="G520" s="112">
        <v>191851000</v>
      </c>
      <c r="H520" s="113">
        <v>100</v>
      </c>
      <c r="I520" s="60"/>
      <c r="J520" s="60"/>
    </row>
    <row r="521" spans="1:10" ht="24.75" thickBot="1" x14ac:dyDescent="0.3">
      <c r="A521" s="111" t="s">
        <v>1456</v>
      </c>
      <c r="B521" s="112">
        <v>191648000</v>
      </c>
      <c r="C521" s="111" t="s">
        <v>49</v>
      </c>
      <c r="D521" s="111" t="s">
        <v>89</v>
      </c>
      <c r="E521" s="112">
        <v>191648000</v>
      </c>
      <c r="F521" s="112">
        <f t="shared" si="17"/>
        <v>0</v>
      </c>
      <c r="G521" s="112">
        <v>191648000</v>
      </c>
      <c r="H521" s="113">
        <v>100</v>
      </c>
      <c r="I521" s="60"/>
      <c r="J521" s="60"/>
    </row>
    <row r="522" spans="1:10" ht="12.75" thickBot="1" x14ac:dyDescent="0.3">
      <c r="A522" s="111" t="s">
        <v>1457</v>
      </c>
      <c r="B522" s="112">
        <v>190771000</v>
      </c>
      <c r="C522" s="111" t="s">
        <v>49</v>
      </c>
      <c r="D522" s="111" t="s">
        <v>89</v>
      </c>
      <c r="E522" s="112">
        <v>190771000</v>
      </c>
      <c r="F522" s="112">
        <f t="shared" si="17"/>
        <v>0</v>
      </c>
      <c r="G522" s="112">
        <v>190771000</v>
      </c>
      <c r="H522" s="113">
        <v>100</v>
      </c>
      <c r="I522" s="60"/>
      <c r="J522" s="60"/>
    </row>
    <row r="523" spans="1:10" ht="24.75" thickBot="1" x14ac:dyDescent="0.3">
      <c r="A523" s="111" t="s">
        <v>1458</v>
      </c>
      <c r="B523" s="112">
        <v>191038000</v>
      </c>
      <c r="C523" s="111" t="s">
        <v>49</v>
      </c>
      <c r="D523" s="111" t="s">
        <v>89</v>
      </c>
      <c r="E523" s="112">
        <v>191038000</v>
      </c>
      <c r="F523" s="112">
        <f t="shared" si="17"/>
        <v>0</v>
      </c>
      <c r="G523" s="112">
        <v>191038000</v>
      </c>
      <c r="H523" s="113">
        <v>100</v>
      </c>
    </row>
    <row r="524" spans="1:10" ht="12.75" thickBot="1" x14ac:dyDescent="0.3">
      <c r="A524" s="111" t="s">
        <v>1459</v>
      </c>
      <c r="B524" s="112">
        <v>190868000</v>
      </c>
      <c r="C524" s="111" t="s">
        <v>49</v>
      </c>
      <c r="D524" s="111" t="s">
        <v>89</v>
      </c>
      <c r="E524" s="112">
        <v>190868000</v>
      </c>
      <c r="F524" s="112">
        <f t="shared" si="17"/>
        <v>0</v>
      </c>
      <c r="G524" s="112">
        <v>190868000</v>
      </c>
      <c r="H524" s="113">
        <v>100</v>
      </c>
    </row>
    <row r="525" spans="1:10" ht="24.75" thickBot="1" x14ac:dyDescent="0.3">
      <c r="A525" s="111" t="s">
        <v>1460</v>
      </c>
      <c r="B525" s="112">
        <v>191693000</v>
      </c>
      <c r="C525" s="111" t="s">
        <v>49</v>
      </c>
      <c r="D525" s="111" t="s">
        <v>89</v>
      </c>
      <c r="E525" s="112">
        <v>191693000</v>
      </c>
      <c r="F525" s="112">
        <f t="shared" si="17"/>
        <v>0</v>
      </c>
      <c r="G525" s="112">
        <v>191693000</v>
      </c>
      <c r="H525" s="113">
        <v>100</v>
      </c>
    </row>
    <row r="526" spans="1:10" ht="12.75" thickBot="1" x14ac:dyDescent="0.3">
      <c r="A526" s="111" t="s">
        <v>1461</v>
      </c>
      <c r="B526" s="112">
        <v>190417000</v>
      </c>
      <c r="C526" s="111" t="s">
        <v>49</v>
      </c>
      <c r="D526" s="111" t="s">
        <v>89</v>
      </c>
      <c r="E526" s="112">
        <v>190417000</v>
      </c>
      <c r="F526" s="112">
        <f t="shared" si="17"/>
        <v>0</v>
      </c>
      <c r="G526" s="112">
        <v>190417000</v>
      </c>
      <c r="H526" s="113">
        <v>100</v>
      </c>
    </row>
    <row r="527" spans="1:10" ht="24.75" thickBot="1" x14ac:dyDescent="0.3">
      <c r="A527" s="111" t="s">
        <v>1462</v>
      </c>
      <c r="B527" s="112">
        <v>191834000</v>
      </c>
      <c r="C527" s="111" t="s">
        <v>49</v>
      </c>
      <c r="D527" s="111" t="s">
        <v>89</v>
      </c>
      <c r="E527" s="112">
        <v>191834000</v>
      </c>
      <c r="F527" s="112">
        <f t="shared" si="17"/>
        <v>0</v>
      </c>
      <c r="G527" s="112">
        <v>191834000</v>
      </c>
      <c r="H527" s="113">
        <v>100</v>
      </c>
    </row>
    <row r="528" spans="1:10" ht="24.75" thickBot="1" x14ac:dyDescent="0.3">
      <c r="A528" s="111" t="s">
        <v>1463</v>
      </c>
      <c r="B528" s="112">
        <v>189830000</v>
      </c>
      <c r="C528" s="111" t="s">
        <v>49</v>
      </c>
      <c r="D528" s="111" t="s">
        <v>89</v>
      </c>
      <c r="E528" s="112">
        <v>189830000</v>
      </c>
      <c r="F528" s="112">
        <f t="shared" si="17"/>
        <v>0</v>
      </c>
      <c r="G528" s="112">
        <v>189830000</v>
      </c>
      <c r="H528" s="113">
        <v>100</v>
      </c>
    </row>
    <row r="529" spans="1:10" ht="12.75" thickBot="1" x14ac:dyDescent="0.3">
      <c r="A529" s="111" t="s">
        <v>1464</v>
      </c>
      <c r="B529" s="112">
        <v>191108000</v>
      </c>
      <c r="C529" s="111" t="s">
        <v>49</v>
      </c>
      <c r="D529" s="111" t="s">
        <v>89</v>
      </c>
      <c r="E529" s="112">
        <v>191108000</v>
      </c>
      <c r="F529" s="112">
        <f t="shared" si="17"/>
        <v>0</v>
      </c>
      <c r="G529" s="112">
        <v>191108000</v>
      </c>
      <c r="H529" s="113">
        <v>100</v>
      </c>
    </row>
    <row r="530" spans="1:10" ht="24.75" thickBot="1" x14ac:dyDescent="0.3">
      <c r="A530" s="111" t="s">
        <v>1465</v>
      </c>
      <c r="B530" s="112">
        <v>190608000</v>
      </c>
      <c r="C530" s="111" t="s">
        <v>49</v>
      </c>
      <c r="D530" s="111" t="s">
        <v>89</v>
      </c>
      <c r="E530" s="112">
        <v>190608000</v>
      </c>
      <c r="F530" s="112">
        <f t="shared" si="17"/>
        <v>0</v>
      </c>
      <c r="G530" s="112">
        <v>190608000</v>
      </c>
      <c r="H530" s="113">
        <v>100</v>
      </c>
    </row>
    <row r="531" spans="1:10" ht="12.75" thickBot="1" x14ac:dyDescent="0.3">
      <c r="A531" s="111" t="s">
        <v>1466</v>
      </c>
      <c r="B531" s="112">
        <v>189290000</v>
      </c>
      <c r="C531" s="111" t="s">
        <v>49</v>
      </c>
      <c r="D531" s="111" t="s">
        <v>89</v>
      </c>
      <c r="E531" s="112">
        <v>189290000</v>
      </c>
      <c r="F531" s="112">
        <f t="shared" si="17"/>
        <v>0</v>
      </c>
      <c r="G531" s="112">
        <v>189290000</v>
      </c>
      <c r="H531" s="113">
        <v>100</v>
      </c>
    </row>
    <row r="532" spans="1:10" ht="24.75" thickBot="1" x14ac:dyDescent="0.3">
      <c r="A532" s="111" t="s">
        <v>1467</v>
      </c>
      <c r="B532" s="112">
        <v>189572000</v>
      </c>
      <c r="C532" s="111" t="s">
        <v>49</v>
      </c>
      <c r="D532" s="111" t="s">
        <v>89</v>
      </c>
      <c r="E532" s="112">
        <v>189534900</v>
      </c>
      <c r="F532" s="112">
        <f t="shared" si="17"/>
        <v>37100</v>
      </c>
      <c r="G532" s="112">
        <v>189534900</v>
      </c>
      <c r="H532" s="113">
        <v>100</v>
      </c>
    </row>
    <row r="533" spans="1:10" ht="12.75" thickBot="1" x14ac:dyDescent="0.3">
      <c r="A533" s="111" t="s">
        <v>1468</v>
      </c>
      <c r="B533" s="112">
        <v>192122000</v>
      </c>
      <c r="C533" s="111" t="s">
        <v>49</v>
      </c>
      <c r="D533" s="111" t="s">
        <v>89</v>
      </c>
      <c r="E533" s="112">
        <v>192122000</v>
      </c>
      <c r="F533" s="112">
        <f t="shared" si="17"/>
        <v>0</v>
      </c>
      <c r="G533" s="112">
        <v>192122000</v>
      </c>
      <c r="H533" s="113">
        <v>100</v>
      </c>
    </row>
    <row r="534" spans="1:10" ht="12.75" thickBot="1" x14ac:dyDescent="0.3">
      <c r="A534" s="111" t="s">
        <v>1469</v>
      </c>
      <c r="B534" s="112">
        <v>190177000</v>
      </c>
      <c r="C534" s="111" t="s">
        <v>49</v>
      </c>
      <c r="D534" s="111" t="s">
        <v>89</v>
      </c>
      <c r="E534" s="112">
        <v>190177000</v>
      </c>
      <c r="F534" s="112">
        <f t="shared" si="17"/>
        <v>0</v>
      </c>
      <c r="G534" s="112">
        <v>190177000</v>
      </c>
      <c r="H534" s="113">
        <v>100</v>
      </c>
    </row>
    <row r="535" spans="1:10" ht="24.75" thickBot="1" x14ac:dyDescent="0.3">
      <c r="A535" s="111" t="s">
        <v>1470</v>
      </c>
      <c r="B535" s="112">
        <v>192327000</v>
      </c>
      <c r="C535" s="111" t="s">
        <v>49</v>
      </c>
      <c r="D535" s="111" t="s">
        <v>89</v>
      </c>
      <c r="E535" s="112">
        <v>192327000</v>
      </c>
      <c r="F535" s="112">
        <f t="shared" si="17"/>
        <v>0</v>
      </c>
      <c r="G535" s="112">
        <v>192327000</v>
      </c>
      <c r="H535" s="113">
        <v>100</v>
      </c>
    </row>
    <row r="536" spans="1:10" ht="24.75" thickBot="1" x14ac:dyDescent="0.3">
      <c r="A536" s="111" t="s">
        <v>1471</v>
      </c>
      <c r="B536" s="112">
        <v>190172000</v>
      </c>
      <c r="C536" s="111" t="s">
        <v>49</v>
      </c>
      <c r="D536" s="111" t="s">
        <v>89</v>
      </c>
      <c r="E536" s="112">
        <v>190172000</v>
      </c>
      <c r="F536" s="112">
        <f t="shared" si="17"/>
        <v>0</v>
      </c>
      <c r="G536" s="112">
        <v>190172000</v>
      </c>
      <c r="H536" s="113">
        <v>100</v>
      </c>
    </row>
    <row r="537" spans="1:10" ht="24.75" thickBot="1" x14ac:dyDescent="0.3">
      <c r="A537" s="111" t="s">
        <v>1472</v>
      </c>
      <c r="B537" s="112">
        <v>191727000</v>
      </c>
      <c r="C537" s="111" t="s">
        <v>49</v>
      </c>
      <c r="D537" s="111" t="s">
        <v>89</v>
      </c>
      <c r="E537" s="112">
        <v>191727000</v>
      </c>
      <c r="F537" s="112">
        <f t="shared" si="17"/>
        <v>0</v>
      </c>
      <c r="G537" s="112">
        <v>191727000</v>
      </c>
      <c r="H537" s="113">
        <v>100</v>
      </c>
    </row>
    <row r="538" spans="1:10" ht="24.75" thickBot="1" x14ac:dyDescent="0.3">
      <c r="A538" s="111" t="s">
        <v>1473</v>
      </c>
      <c r="B538" s="112">
        <v>189150000</v>
      </c>
      <c r="C538" s="111" t="s">
        <v>49</v>
      </c>
      <c r="D538" s="111" t="s">
        <v>89</v>
      </c>
      <c r="E538" s="112">
        <v>189150000</v>
      </c>
      <c r="F538" s="112">
        <f t="shared" si="17"/>
        <v>0</v>
      </c>
      <c r="G538" s="112">
        <v>189150000</v>
      </c>
      <c r="H538" s="113">
        <v>100</v>
      </c>
    </row>
    <row r="539" spans="1:10" ht="24.75" thickBot="1" x14ac:dyDescent="0.3">
      <c r="A539" s="111" t="s">
        <v>1474</v>
      </c>
      <c r="B539" s="112">
        <v>188000000</v>
      </c>
      <c r="C539" s="111" t="s">
        <v>49</v>
      </c>
      <c r="D539" s="111" t="s">
        <v>89</v>
      </c>
      <c r="E539" s="112">
        <v>188706000</v>
      </c>
      <c r="F539" s="112">
        <f t="shared" si="17"/>
        <v>-706000</v>
      </c>
      <c r="G539" s="112">
        <v>188706000</v>
      </c>
      <c r="H539" s="113">
        <v>100</v>
      </c>
      <c r="I539" s="60"/>
      <c r="J539" s="60"/>
    </row>
    <row r="540" spans="1:10" ht="24.75" thickBot="1" x14ac:dyDescent="0.3">
      <c r="A540" s="111" t="s">
        <v>1475</v>
      </c>
      <c r="B540" s="112">
        <v>142328000</v>
      </c>
      <c r="C540" s="111" t="s">
        <v>49</v>
      </c>
      <c r="D540" s="111" t="s">
        <v>89</v>
      </c>
      <c r="E540" s="112">
        <v>142328000</v>
      </c>
      <c r="F540" s="112">
        <f t="shared" si="17"/>
        <v>0</v>
      </c>
      <c r="G540" s="112">
        <v>142328000</v>
      </c>
      <c r="H540" s="113">
        <v>100</v>
      </c>
      <c r="I540" s="60"/>
      <c r="J540" s="60"/>
    </row>
    <row r="541" spans="1:10" ht="12.75" thickBot="1" x14ac:dyDescent="0.3">
      <c r="A541" s="111" t="s">
        <v>1476</v>
      </c>
      <c r="B541" s="112">
        <v>191537000</v>
      </c>
      <c r="C541" s="111" t="s">
        <v>49</v>
      </c>
      <c r="D541" s="111" t="s">
        <v>89</v>
      </c>
      <c r="E541" s="112">
        <v>191537000</v>
      </c>
      <c r="F541" s="112">
        <f t="shared" si="17"/>
        <v>0</v>
      </c>
      <c r="G541" s="112">
        <v>191537000</v>
      </c>
      <c r="H541" s="113">
        <v>100</v>
      </c>
      <c r="I541" s="60"/>
      <c r="J541" s="60"/>
    </row>
    <row r="542" spans="1:10" ht="12.75" thickBot="1" x14ac:dyDescent="0.3">
      <c r="A542" s="111" t="s">
        <v>1477</v>
      </c>
      <c r="B542" s="112">
        <v>190345000</v>
      </c>
      <c r="C542" s="111" t="s">
        <v>49</v>
      </c>
      <c r="D542" s="111" t="s">
        <v>89</v>
      </c>
      <c r="E542" s="112">
        <v>190345000</v>
      </c>
      <c r="F542" s="112">
        <f t="shared" si="17"/>
        <v>0</v>
      </c>
      <c r="G542" s="112">
        <v>190345000</v>
      </c>
      <c r="H542" s="113">
        <v>100</v>
      </c>
      <c r="I542" s="60"/>
      <c r="J542" s="60"/>
    </row>
    <row r="543" spans="1:10" ht="24.75" thickBot="1" x14ac:dyDescent="0.3">
      <c r="A543" s="111" t="s">
        <v>1478</v>
      </c>
      <c r="B543" s="112">
        <v>193835000</v>
      </c>
      <c r="C543" s="111" t="s">
        <v>49</v>
      </c>
      <c r="D543" s="111" t="s">
        <v>89</v>
      </c>
      <c r="E543" s="112">
        <v>193835000</v>
      </c>
      <c r="F543" s="112">
        <f t="shared" si="17"/>
        <v>0</v>
      </c>
      <c r="G543" s="112">
        <v>193835000</v>
      </c>
      <c r="H543" s="113">
        <v>100</v>
      </c>
      <c r="I543" s="60"/>
      <c r="J543" s="60"/>
    </row>
    <row r="544" spans="1:10" ht="12.75" thickBot="1" x14ac:dyDescent="0.3">
      <c r="A544" s="111" t="s">
        <v>1479</v>
      </c>
      <c r="B544" s="112">
        <v>191825000</v>
      </c>
      <c r="C544" s="111" t="s">
        <v>49</v>
      </c>
      <c r="D544" s="111" t="s">
        <v>89</v>
      </c>
      <c r="E544" s="112">
        <v>191825000</v>
      </c>
      <c r="F544" s="112">
        <f t="shared" si="17"/>
        <v>0</v>
      </c>
      <c r="G544" s="112">
        <v>191825000</v>
      </c>
      <c r="H544" s="113">
        <v>100</v>
      </c>
      <c r="I544" s="60"/>
      <c r="J544" s="60"/>
    </row>
    <row r="545" spans="1:10" ht="24.75" thickBot="1" x14ac:dyDescent="0.3">
      <c r="A545" s="111" t="s">
        <v>1480</v>
      </c>
      <c r="B545" s="112">
        <v>192755000</v>
      </c>
      <c r="C545" s="111" t="s">
        <v>49</v>
      </c>
      <c r="D545" s="111" t="s">
        <v>89</v>
      </c>
      <c r="E545" s="112">
        <v>192755000</v>
      </c>
      <c r="F545" s="112">
        <f t="shared" si="17"/>
        <v>0</v>
      </c>
      <c r="G545" s="112">
        <v>192755000</v>
      </c>
      <c r="H545" s="113">
        <v>100</v>
      </c>
      <c r="I545" s="60"/>
      <c r="J545" s="60"/>
    </row>
    <row r="546" spans="1:10" ht="24.75" thickBot="1" x14ac:dyDescent="0.3">
      <c r="A546" s="111" t="s">
        <v>1481</v>
      </c>
      <c r="B546" s="112">
        <v>143565000</v>
      </c>
      <c r="C546" s="111" t="s">
        <v>49</v>
      </c>
      <c r="D546" s="111" t="s">
        <v>89</v>
      </c>
      <c r="E546" s="112">
        <v>143565000</v>
      </c>
      <c r="F546" s="112">
        <f t="shared" si="17"/>
        <v>0</v>
      </c>
      <c r="G546" s="112">
        <v>143565000</v>
      </c>
      <c r="H546" s="113">
        <v>100</v>
      </c>
      <c r="I546" s="60"/>
      <c r="J546" s="60"/>
    </row>
    <row r="547" spans="1:10" ht="12.75" thickBot="1" x14ac:dyDescent="0.3">
      <c r="A547" s="111" t="s">
        <v>1482</v>
      </c>
      <c r="B547" s="112">
        <v>192250000</v>
      </c>
      <c r="C547" s="111" t="s">
        <v>49</v>
      </c>
      <c r="D547" s="111" t="s">
        <v>89</v>
      </c>
      <c r="E547" s="112">
        <v>192250000</v>
      </c>
      <c r="F547" s="112">
        <f t="shared" si="17"/>
        <v>0</v>
      </c>
      <c r="G547" s="112">
        <v>192250000</v>
      </c>
      <c r="H547" s="113">
        <v>100</v>
      </c>
      <c r="I547" s="60"/>
      <c r="J547" s="60"/>
    </row>
    <row r="548" spans="1:10" ht="24.75" thickBot="1" x14ac:dyDescent="0.3">
      <c r="A548" s="111" t="s">
        <v>1483</v>
      </c>
      <c r="B548" s="112">
        <v>193993000</v>
      </c>
      <c r="C548" s="111" t="s">
        <v>49</v>
      </c>
      <c r="D548" s="111" t="s">
        <v>89</v>
      </c>
      <c r="E548" s="112">
        <v>193993000</v>
      </c>
      <c r="F548" s="112">
        <f t="shared" si="17"/>
        <v>0</v>
      </c>
      <c r="G548" s="112">
        <v>193993000</v>
      </c>
      <c r="H548" s="113">
        <v>100</v>
      </c>
      <c r="I548" s="60"/>
      <c r="J548" s="60"/>
    </row>
    <row r="549" spans="1:10" ht="24.75" thickBot="1" x14ac:dyDescent="0.3">
      <c r="A549" s="111" t="s">
        <v>1484</v>
      </c>
      <c r="B549" s="112">
        <v>193178000</v>
      </c>
      <c r="C549" s="111" t="s">
        <v>49</v>
      </c>
      <c r="D549" s="111" t="s">
        <v>89</v>
      </c>
      <c r="E549" s="112">
        <v>193178000</v>
      </c>
      <c r="F549" s="112">
        <f t="shared" si="17"/>
        <v>0</v>
      </c>
      <c r="G549" s="112">
        <v>193178000</v>
      </c>
      <c r="H549" s="113">
        <v>100</v>
      </c>
      <c r="I549" s="60"/>
      <c r="J549" s="60"/>
    </row>
    <row r="550" spans="1:10" ht="24.75" thickBot="1" x14ac:dyDescent="0.3">
      <c r="A550" s="111" t="s">
        <v>1485</v>
      </c>
      <c r="B550" s="112">
        <v>190200000</v>
      </c>
      <c r="C550" s="111" t="s">
        <v>49</v>
      </c>
      <c r="D550" s="111" t="s">
        <v>89</v>
      </c>
      <c r="E550" s="112">
        <v>190109900</v>
      </c>
      <c r="F550" s="112">
        <f t="shared" si="17"/>
        <v>90100</v>
      </c>
      <c r="G550" s="112">
        <v>190109900</v>
      </c>
      <c r="H550" s="113">
        <v>100</v>
      </c>
      <c r="I550" s="60"/>
      <c r="J550" s="60"/>
    </row>
    <row r="551" spans="1:10" ht="24.75" thickBot="1" x14ac:dyDescent="0.3">
      <c r="A551" s="111" t="s">
        <v>1486</v>
      </c>
      <c r="B551" s="112">
        <v>191952000</v>
      </c>
      <c r="C551" s="111" t="s">
        <v>49</v>
      </c>
      <c r="D551" s="111" t="s">
        <v>89</v>
      </c>
      <c r="E551" s="112">
        <v>191952000</v>
      </c>
      <c r="F551" s="112">
        <f t="shared" si="17"/>
        <v>0</v>
      </c>
      <c r="G551" s="112">
        <v>191952000</v>
      </c>
      <c r="H551" s="113">
        <v>100</v>
      </c>
      <c r="I551" s="60"/>
      <c r="J551" s="60"/>
    </row>
    <row r="552" spans="1:10" ht="24.75" thickBot="1" x14ac:dyDescent="0.3">
      <c r="A552" s="111" t="s">
        <v>1487</v>
      </c>
      <c r="B552" s="112">
        <v>189200000</v>
      </c>
      <c r="C552" s="111" t="s">
        <v>49</v>
      </c>
      <c r="D552" s="111" t="s">
        <v>89</v>
      </c>
      <c r="E552" s="112">
        <v>189103500</v>
      </c>
      <c r="F552" s="112">
        <f t="shared" si="17"/>
        <v>96500</v>
      </c>
      <c r="G552" s="112">
        <v>189103500</v>
      </c>
      <c r="H552" s="113">
        <v>100</v>
      </c>
      <c r="I552" s="60"/>
      <c r="J552" s="60"/>
    </row>
    <row r="553" spans="1:10" ht="12.75" thickBot="1" x14ac:dyDescent="0.3">
      <c r="A553" s="111" t="s">
        <v>1488</v>
      </c>
      <c r="B553" s="112">
        <v>189200000</v>
      </c>
      <c r="C553" s="111" t="s">
        <v>49</v>
      </c>
      <c r="D553" s="111" t="s">
        <v>89</v>
      </c>
      <c r="E553" s="112">
        <v>189103500</v>
      </c>
      <c r="F553" s="112">
        <f t="shared" si="17"/>
        <v>96500</v>
      </c>
      <c r="G553" s="112">
        <v>189103500</v>
      </c>
      <c r="H553" s="113">
        <v>100</v>
      </c>
      <c r="I553" s="60"/>
      <c r="J553" s="60"/>
    </row>
    <row r="554" spans="1:10" ht="24.75" thickBot="1" x14ac:dyDescent="0.3">
      <c r="A554" s="111" t="s">
        <v>1489</v>
      </c>
      <c r="B554" s="112">
        <v>189200000</v>
      </c>
      <c r="C554" s="111" t="s">
        <v>49</v>
      </c>
      <c r="D554" s="111" t="s">
        <v>89</v>
      </c>
      <c r="E554" s="112">
        <v>189103500</v>
      </c>
      <c r="F554" s="112">
        <f t="shared" si="17"/>
        <v>96500</v>
      </c>
      <c r="G554" s="112">
        <v>189103500</v>
      </c>
      <c r="H554" s="113">
        <v>100</v>
      </c>
      <c r="I554" s="60"/>
      <c r="J554" s="60"/>
    </row>
    <row r="555" spans="1:10" ht="12.75" thickBot="1" x14ac:dyDescent="0.3">
      <c r="A555" s="111" t="s">
        <v>1490</v>
      </c>
      <c r="B555" s="112">
        <v>191767000</v>
      </c>
      <c r="C555" s="111" t="s">
        <v>49</v>
      </c>
      <c r="D555" s="111" t="s">
        <v>89</v>
      </c>
      <c r="E555" s="112">
        <v>191767000</v>
      </c>
      <c r="F555" s="112">
        <f t="shared" si="17"/>
        <v>0</v>
      </c>
      <c r="G555" s="112">
        <v>191767000</v>
      </c>
      <c r="H555" s="113">
        <v>100</v>
      </c>
      <c r="I555" s="60"/>
      <c r="J555" s="60"/>
    </row>
    <row r="556" spans="1:10" ht="12.75" thickBot="1" x14ac:dyDescent="0.3">
      <c r="A556" s="111" t="s">
        <v>1491</v>
      </c>
      <c r="B556" s="112">
        <v>190701000</v>
      </c>
      <c r="C556" s="111" t="s">
        <v>49</v>
      </c>
      <c r="D556" s="111" t="s">
        <v>89</v>
      </c>
      <c r="E556" s="112">
        <v>190701000</v>
      </c>
      <c r="F556" s="112">
        <f t="shared" si="17"/>
        <v>0</v>
      </c>
      <c r="G556" s="112">
        <v>190701000</v>
      </c>
      <c r="H556" s="113">
        <v>100</v>
      </c>
      <c r="I556" s="60"/>
      <c r="J556" s="60"/>
    </row>
    <row r="557" spans="1:10" ht="24.75" thickBot="1" x14ac:dyDescent="0.3">
      <c r="A557" s="111" t="s">
        <v>1492</v>
      </c>
      <c r="B557" s="112">
        <v>190400000</v>
      </c>
      <c r="C557" s="111" t="s">
        <v>49</v>
      </c>
      <c r="D557" s="111" t="s">
        <v>89</v>
      </c>
      <c r="E557" s="112">
        <v>190433300</v>
      </c>
      <c r="F557" s="112">
        <f t="shared" si="17"/>
        <v>-33300</v>
      </c>
      <c r="G557" s="112">
        <v>190433300</v>
      </c>
      <c r="H557" s="113">
        <v>100</v>
      </c>
      <c r="I557" s="60"/>
      <c r="J557" s="60"/>
    </row>
    <row r="558" spans="1:10" ht="12.75" thickBot="1" x14ac:dyDescent="0.3">
      <c r="A558" s="111" t="s">
        <v>1493</v>
      </c>
      <c r="B558" s="112">
        <v>192434000</v>
      </c>
      <c r="C558" s="111" t="s">
        <v>49</v>
      </c>
      <c r="D558" s="111" t="s">
        <v>89</v>
      </c>
      <c r="E558" s="112">
        <v>192434000</v>
      </c>
      <c r="F558" s="112">
        <f t="shared" si="17"/>
        <v>0</v>
      </c>
      <c r="G558" s="112">
        <v>192434000</v>
      </c>
      <c r="H558" s="113">
        <v>100</v>
      </c>
      <c r="I558" s="60"/>
      <c r="J558" s="60"/>
    </row>
    <row r="559" spans="1:10" ht="24.75" thickBot="1" x14ac:dyDescent="0.3">
      <c r="A559" s="111" t="s">
        <v>1494</v>
      </c>
      <c r="B559" s="112">
        <v>189300000</v>
      </c>
      <c r="C559" s="111" t="s">
        <v>49</v>
      </c>
      <c r="D559" s="111" t="s">
        <v>89</v>
      </c>
      <c r="E559" s="112">
        <v>190095500</v>
      </c>
      <c r="F559" s="112">
        <f t="shared" si="17"/>
        <v>-795500</v>
      </c>
      <c r="G559" s="112">
        <v>190095500</v>
      </c>
      <c r="H559" s="113">
        <v>100</v>
      </c>
      <c r="I559" s="60"/>
      <c r="J559" s="60"/>
    </row>
    <row r="560" spans="1:10" ht="12.75" thickBot="1" x14ac:dyDescent="0.3">
      <c r="A560" s="111" t="s">
        <v>1495</v>
      </c>
      <c r="B560" s="112">
        <v>193597000</v>
      </c>
      <c r="C560" s="111" t="s">
        <v>49</v>
      </c>
      <c r="D560" s="111" t="s">
        <v>89</v>
      </c>
      <c r="E560" s="112">
        <v>193597000</v>
      </c>
      <c r="F560" s="112">
        <f t="shared" si="17"/>
        <v>0</v>
      </c>
      <c r="G560" s="112">
        <v>193597000</v>
      </c>
      <c r="H560" s="113">
        <v>100</v>
      </c>
      <c r="I560" s="60"/>
      <c r="J560" s="60"/>
    </row>
    <row r="561" spans="1:10" ht="24.75" thickBot="1" x14ac:dyDescent="0.3">
      <c r="A561" s="111" t="s">
        <v>1496</v>
      </c>
      <c r="B561" s="112">
        <v>191000000</v>
      </c>
      <c r="C561" s="111" t="s">
        <v>49</v>
      </c>
      <c r="D561" s="111" t="s">
        <v>89</v>
      </c>
      <c r="E561" s="112">
        <v>190347000</v>
      </c>
      <c r="F561" s="112">
        <f t="shared" si="17"/>
        <v>653000</v>
      </c>
      <c r="G561" s="112">
        <v>190347000</v>
      </c>
      <c r="H561" s="113">
        <v>100</v>
      </c>
      <c r="I561" s="60"/>
      <c r="J561" s="60"/>
    </row>
    <row r="562" spans="1:10" ht="24.75" thickBot="1" x14ac:dyDescent="0.3">
      <c r="A562" s="111" t="s">
        <v>1497</v>
      </c>
      <c r="B562" s="112">
        <v>193648000</v>
      </c>
      <c r="C562" s="111" t="s">
        <v>49</v>
      </c>
      <c r="D562" s="111" t="s">
        <v>89</v>
      </c>
      <c r="E562" s="112">
        <v>193648000</v>
      </c>
      <c r="F562" s="112">
        <f t="shared" si="17"/>
        <v>0</v>
      </c>
      <c r="G562" s="112">
        <v>193648000</v>
      </c>
      <c r="H562" s="113">
        <v>100</v>
      </c>
      <c r="I562" s="60"/>
      <c r="J562" s="60"/>
    </row>
    <row r="563" spans="1:10" ht="24.75" thickBot="1" x14ac:dyDescent="0.3">
      <c r="A563" s="111" t="s">
        <v>1498</v>
      </c>
      <c r="B563" s="112">
        <v>193036000</v>
      </c>
      <c r="C563" s="111" t="s">
        <v>49</v>
      </c>
      <c r="D563" s="111" t="s">
        <v>89</v>
      </c>
      <c r="E563" s="112">
        <v>193036000</v>
      </c>
      <c r="F563" s="112">
        <f t="shared" si="17"/>
        <v>0</v>
      </c>
      <c r="G563" s="112">
        <v>193036000</v>
      </c>
      <c r="H563" s="113">
        <v>100</v>
      </c>
      <c r="I563" s="60"/>
      <c r="J563" s="60"/>
    </row>
    <row r="564" spans="1:10" ht="24.75" thickBot="1" x14ac:dyDescent="0.3">
      <c r="A564" s="111" t="s">
        <v>1499</v>
      </c>
      <c r="B564" s="112">
        <v>191154000</v>
      </c>
      <c r="C564" s="111" t="s">
        <v>49</v>
      </c>
      <c r="D564" s="111" t="s">
        <v>89</v>
      </c>
      <c r="E564" s="112">
        <v>191154000</v>
      </c>
      <c r="F564" s="112">
        <f t="shared" si="17"/>
        <v>0</v>
      </c>
      <c r="G564" s="112">
        <v>191154000</v>
      </c>
      <c r="H564" s="113">
        <v>100</v>
      </c>
      <c r="I564" s="60"/>
      <c r="J564" s="60"/>
    </row>
    <row r="565" spans="1:10" ht="24.75" thickBot="1" x14ac:dyDescent="0.3">
      <c r="A565" s="111" t="s">
        <v>1500</v>
      </c>
      <c r="B565" s="112">
        <v>189691000</v>
      </c>
      <c r="C565" s="111" t="s">
        <v>49</v>
      </c>
      <c r="D565" s="111" t="s">
        <v>89</v>
      </c>
      <c r="E565" s="112">
        <v>189691000</v>
      </c>
      <c r="F565" s="112">
        <f t="shared" si="17"/>
        <v>0</v>
      </c>
      <c r="G565" s="112">
        <v>189691000</v>
      </c>
      <c r="H565" s="113">
        <v>100</v>
      </c>
      <c r="I565" s="60"/>
      <c r="J565" s="60"/>
    </row>
    <row r="566" spans="1:10" ht="24.75" thickBot="1" x14ac:dyDescent="0.3">
      <c r="A566" s="111" t="s">
        <v>1501</v>
      </c>
      <c r="B566" s="112">
        <v>192060000</v>
      </c>
      <c r="C566" s="111" t="s">
        <v>49</v>
      </c>
      <c r="D566" s="111" t="s">
        <v>89</v>
      </c>
      <c r="E566" s="112">
        <v>192060000</v>
      </c>
      <c r="F566" s="112">
        <f t="shared" si="17"/>
        <v>0</v>
      </c>
      <c r="G566" s="112">
        <v>192060000</v>
      </c>
      <c r="H566" s="113">
        <v>100</v>
      </c>
      <c r="I566" s="60"/>
      <c r="J566" s="60"/>
    </row>
    <row r="567" spans="1:10" ht="12.75" thickBot="1" x14ac:dyDescent="0.3">
      <c r="A567" s="111" t="s">
        <v>1502</v>
      </c>
      <c r="B567" s="112">
        <v>189517000</v>
      </c>
      <c r="C567" s="111" t="s">
        <v>49</v>
      </c>
      <c r="D567" s="111" t="s">
        <v>89</v>
      </c>
      <c r="E567" s="112">
        <v>189517000</v>
      </c>
      <c r="F567" s="112">
        <f t="shared" si="17"/>
        <v>0</v>
      </c>
      <c r="G567" s="112">
        <v>189517000</v>
      </c>
      <c r="H567" s="113">
        <v>100</v>
      </c>
      <c r="I567" s="60"/>
      <c r="J567" s="60"/>
    </row>
    <row r="568" spans="1:10" ht="24.75" thickBot="1" x14ac:dyDescent="0.3">
      <c r="A568" s="111" t="s">
        <v>1503</v>
      </c>
      <c r="B568" s="112">
        <v>191000000</v>
      </c>
      <c r="C568" s="111" t="s">
        <v>49</v>
      </c>
      <c r="D568" s="111" t="s">
        <v>89</v>
      </c>
      <c r="E568" s="112">
        <v>190979000</v>
      </c>
      <c r="F568" s="112">
        <f t="shared" si="17"/>
        <v>21000</v>
      </c>
      <c r="G568" s="112">
        <v>190979000</v>
      </c>
      <c r="H568" s="113">
        <v>100</v>
      </c>
      <c r="I568" s="60"/>
      <c r="J568" s="60"/>
    </row>
    <row r="569" spans="1:10" ht="24.75" thickBot="1" x14ac:dyDescent="0.3">
      <c r="A569" s="111" t="s">
        <v>1504</v>
      </c>
      <c r="B569" s="112">
        <v>191000000</v>
      </c>
      <c r="C569" s="111" t="s">
        <v>49</v>
      </c>
      <c r="D569" s="111" t="s">
        <v>89</v>
      </c>
      <c r="E569" s="112">
        <v>190181000</v>
      </c>
      <c r="F569" s="112">
        <f t="shared" si="17"/>
        <v>819000</v>
      </c>
      <c r="G569" s="112">
        <v>190181000</v>
      </c>
      <c r="H569" s="113">
        <v>100</v>
      </c>
      <c r="I569" s="60"/>
      <c r="J569" s="60"/>
    </row>
    <row r="570" spans="1:10" ht="12.75" thickBot="1" x14ac:dyDescent="0.3">
      <c r="A570" s="111" t="s">
        <v>1505</v>
      </c>
      <c r="B570" s="112">
        <v>192223000</v>
      </c>
      <c r="C570" s="111" t="s">
        <v>49</v>
      </c>
      <c r="D570" s="111" t="s">
        <v>89</v>
      </c>
      <c r="E570" s="112">
        <v>192223000</v>
      </c>
      <c r="F570" s="112">
        <f t="shared" si="17"/>
        <v>0</v>
      </c>
      <c r="G570" s="112">
        <v>192223000</v>
      </c>
      <c r="H570" s="113">
        <v>100</v>
      </c>
      <c r="I570" s="60"/>
      <c r="J570" s="60"/>
    </row>
    <row r="571" spans="1:10" ht="12.75" thickBot="1" x14ac:dyDescent="0.3">
      <c r="A571" s="111" t="s">
        <v>1506</v>
      </c>
      <c r="B571" s="112">
        <v>192801000</v>
      </c>
      <c r="C571" s="111" t="s">
        <v>49</v>
      </c>
      <c r="D571" s="111" t="s">
        <v>89</v>
      </c>
      <c r="E571" s="112">
        <v>192801000</v>
      </c>
      <c r="F571" s="112">
        <f t="shared" si="17"/>
        <v>0</v>
      </c>
      <c r="G571" s="112">
        <v>192801000</v>
      </c>
      <c r="H571" s="113">
        <v>100</v>
      </c>
      <c r="I571" s="60"/>
      <c r="J571" s="60"/>
    </row>
    <row r="572" spans="1:10" ht="24.75" thickBot="1" x14ac:dyDescent="0.3">
      <c r="A572" s="111" t="s">
        <v>1507</v>
      </c>
      <c r="B572" s="112">
        <v>191214000</v>
      </c>
      <c r="C572" s="111" t="s">
        <v>49</v>
      </c>
      <c r="D572" s="111" t="s">
        <v>89</v>
      </c>
      <c r="E572" s="112">
        <v>191214000</v>
      </c>
      <c r="F572" s="112">
        <f t="shared" si="17"/>
        <v>0</v>
      </c>
      <c r="G572" s="112">
        <v>191214000</v>
      </c>
      <c r="H572" s="113">
        <v>100</v>
      </c>
      <c r="I572" s="60"/>
      <c r="J572" s="60"/>
    </row>
    <row r="573" spans="1:10" ht="12.75" thickBot="1" x14ac:dyDescent="0.3">
      <c r="A573" s="111" t="s">
        <v>1508</v>
      </c>
      <c r="B573" s="112">
        <v>191000000</v>
      </c>
      <c r="C573" s="111" t="s">
        <v>49</v>
      </c>
      <c r="D573" s="111" t="s">
        <v>89</v>
      </c>
      <c r="E573" s="112">
        <v>190297800</v>
      </c>
      <c r="F573" s="112">
        <f t="shared" si="17"/>
        <v>702200</v>
      </c>
      <c r="G573" s="112">
        <v>190297800</v>
      </c>
      <c r="H573" s="113">
        <v>100</v>
      </c>
      <c r="I573" s="60"/>
      <c r="J573" s="60"/>
    </row>
    <row r="574" spans="1:10" ht="36.75" thickBot="1" x14ac:dyDescent="0.3">
      <c r="A574" s="111" t="s">
        <v>1509</v>
      </c>
      <c r="B574" s="112">
        <v>191000000</v>
      </c>
      <c r="C574" s="111" t="s">
        <v>49</v>
      </c>
      <c r="D574" s="111" t="s">
        <v>89</v>
      </c>
      <c r="E574" s="112">
        <v>190905329</v>
      </c>
      <c r="F574" s="112">
        <f t="shared" si="17"/>
        <v>94671</v>
      </c>
      <c r="G574" s="112">
        <v>190905329</v>
      </c>
      <c r="H574" s="113">
        <v>100</v>
      </c>
      <c r="I574" s="60"/>
      <c r="J574" s="60"/>
    </row>
    <row r="575" spans="1:10" ht="12.75" thickBot="1" x14ac:dyDescent="0.3">
      <c r="A575" s="111" t="s">
        <v>1510</v>
      </c>
      <c r="B575" s="112">
        <v>191000000</v>
      </c>
      <c r="C575" s="111" t="s">
        <v>49</v>
      </c>
      <c r="D575" s="111" t="s">
        <v>89</v>
      </c>
      <c r="E575" s="112">
        <v>190108992</v>
      </c>
      <c r="F575" s="112">
        <f t="shared" si="17"/>
        <v>891008</v>
      </c>
      <c r="G575" s="112">
        <v>190108992</v>
      </c>
      <c r="H575" s="113">
        <v>100</v>
      </c>
      <c r="I575" s="60"/>
      <c r="J575" s="60"/>
    </row>
    <row r="576" spans="1:10" ht="12.75" thickBot="1" x14ac:dyDescent="0.3">
      <c r="A576" s="111" t="s">
        <v>1511</v>
      </c>
      <c r="B576" s="112">
        <v>189000000</v>
      </c>
      <c r="C576" s="111" t="s">
        <v>49</v>
      </c>
      <c r="D576" s="111" t="s">
        <v>89</v>
      </c>
      <c r="E576" s="112">
        <v>188705288</v>
      </c>
      <c r="F576" s="112">
        <f t="shared" si="17"/>
        <v>294712</v>
      </c>
      <c r="G576" s="112">
        <v>188705288</v>
      </c>
      <c r="H576" s="113">
        <v>100</v>
      </c>
      <c r="I576" s="60"/>
      <c r="J576" s="60"/>
    </row>
    <row r="577" spans="1:10" ht="12.75" thickBot="1" x14ac:dyDescent="0.3">
      <c r="A577" s="111" t="s">
        <v>1512</v>
      </c>
      <c r="B577" s="112">
        <v>143900000</v>
      </c>
      <c r="C577" s="111" t="s">
        <v>49</v>
      </c>
      <c r="D577" s="111" t="s">
        <v>89</v>
      </c>
      <c r="E577" s="112">
        <v>143875008</v>
      </c>
      <c r="F577" s="112">
        <f t="shared" si="17"/>
        <v>24992</v>
      </c>
      <c r="G577" s="112">
        <v>143875008</v>
      </c>
      <c r="H577" s="113">
        <v>100</v>
      </c>
      <c r="I577" s="60"/>
      <c r="J577" s="60"/>
    </row>
    <row r="578" spans="1:10" ht="12.75" thickBot="1" x14ac:dyDescent="0.3">
      <c r="A578" s="111" t="s">
        <v>1513</v>
      </c>
      <c r="B578" s="112">
        <v>143700000</v>
      </c>
      <c r="C578" s="111" t="s">
        <v>49</v>
      </c>
      <c r="D578" s="111" t="s">
        <v>89</v>
      </c>
      <c r="E578" s="112">
        <v>143691936</v>
      </c>
      <c r="F578" s="112">
        <f t="shared" si="17"/>
        <v>8064</v>
      </c>
      <c r="G578" s="112">
        <v>143691936</v>
      </c>
      <c r="H578" s="113">
        <v>100</v>
      </c>
      <c r="I578" s="60"/>
      <c r="J578" s="60"/>
    </row>
    <row r="579" spans="1:10" ht="12.75" thickBot="1" x14ac:dyDescent="0.3">
      <c r="A579" s="111" t="s">
        <v>1514</v>
      </c>
      <c r="B579" s="112">
        <v>192500000</v>
      </c>
      <c r="C579" s="111" t="s">
        <v>49</v>
      </c>
      <c r="D579" s="111" t="s">
        <v>89</v>
      </c>
      <c r="E579" s="112">
        <v>192455117</v>
      </c>
      <c r="F579" s="112">
        <f t="shared" si="17"/>
        <v>44883</v>
      </c>
      <c r="G579" s="112">
        <v>192455117</v>
      </c>
      <c r="H579" s="113">
        <v>100</v>
      </c>
      <c r="I579" s="60"/>
      <c r="J579" s="60"/>
    </row>
    <row r="580" spans="1:10" ht="24.75" thickBot="1" x14ac:dyDescent="0.3">
      <c r="A580" s="111" t="s">
        <v>1515</v>
      </c>
      <c r="B580" s="112">
        <v>191931000</v>
      </c>
      <c r="C580" s="111" t="s">
        <v>49</v>
      </c>
      <c r="D580" s="111" t="s">
        <v>89</v>
      </c>
      <c r="E580" s="112">
        <v>191931000</v>
      </c>
      <c r="F580" s="112">
        <f t="shared" ref="F580:F643" si="18">B580-G580</f>
        <v>0</v>
      </c>
      <c r="G580" s="112">
        <v>191931000</v>
      </c>
      <c r="H580" s="113">
        <v>100</v>
      </c>
      <c r="I580" s="60"/>
      <c r="J580" s="60"/>
    </row>
    <row r="581" spans="1:10" ht="24.75" thickBot="1" x14ac:dyDescent="0.3">
      <c r="A581" s="111" t="s">
        <v>1516</v>
      </c>
      <c r="B581" s="112">
        <v>191400000</v>
      </c>
      <c r="C581" s="111" t="s">
        <v>49</v>
      </c>
      <c r="D581" s="111" t="s">
        <v>89</v>
      </c>
      <c r="E581" s="112">
        <v>191322392</v>
      </c>
      <c r="F581" s="112">
        <f t="shared" si="18"/>
        <v>77608</v>
      </c>
      <c r="G581" s="112">
        <v>191322392</v>
      </c>
      <c r="H581" s="113">
        <v>100</v>
      </c>
      <c r="I581" s="60"/>
      <c r="J581" s="60"/>
    </row>
    <row r="582" spans="1:10" ht="24.75" thickBot="1" x14ac:dyDescent="0.3">
      <c r="A582" s="111" t="s">
        <v>1517</v>
      </c>
      <c r="B582" s="112">
        <v>191000000</v>
      </c>
      <c r="C582" s="111" t="s">
        <v>49</v>
      </c>
      <c r="D582" s="111" t="s">
        <v>89</v>
      </c>
      <c r="E582" s="112">
        <v>190311774</v>
      </c>
      <c r="F582" s="112">
        <f t="shared" si="18"/>
        <v>688226</v>
      </c>
      <c r="G582" s="112">
        <v>190311774</v>
      </c>
      <c r="H582" s="113">
        <v>100</v>
      </c>
      <c r="I582" s="60"/>
      <c r="J582" s="60"/>
    </row>
    <row r="583" spans="1:10" ht="12.75" thickBot="1" x14ac:dyDescent="0.3">
      <c r="A583" s="111" t="s">
        <v>1518</v>
      </c>
      <c r="B583" s="112">
        <v>191200000</v>
      </c>
      <c r="C583" s="111" t="s">
        <v>49</v>
      </c>
      <c r="D583" s="111" t="s">
        <v>89</v>
      </c>
      <c r="E583" s="112">
        <v>191018937</v>
      </c>
      <c r="F583" s="112">
        <f t="shared" si="18"/>
        <v>181063</v>
      </c>
      <c r="G583" s="112">
        <v>191018937</v>
      </c>
      <c r="H583" s="113">
        <v>100</v>
      </c>
      <c r="I583" s="60"/>
      <c r="J583" s="60"/>
    </row>
    <row r="584" spans="1:10" ht="12.75" thickBot="1" x14ac:dyDescent="0.3">
      <c r="A584" s="111" t="s">
        <v>1519</v>
      </c>
      <c r="B584" s="112">
        <v>190000000</v>
      </c>
      <c r="C584" s="111" t="s">
        <v>49</v>
      </c>
      <c r="D584" s="111" t="s">
        <v>89</v>
      </c>
      <c r="E584" s="112">
        <v>189941188</v>
      </c>
      <c r="F584" s="112">
        <f t="shared" si="18"/>
        <v>58812</v>
      </c>
      <c r="G584" s="112">
        <v>189941188</v>
      </c>
      <c r="H584" s="113">
        <v>100</v>
      </c>
      <c r="I584" s="60"/>
      <c r="J584" s="60"/>
    </row>
    <row r="585" spans="1:10" ht="24.75" thickBot="1" x14ac:dyDescent="0.3">
      <c r="A585" s="111" t="s">
        <v>1520</v>
      </c>
      <c r="B585" s="112">
        <v>192238000</v>
      </c>
      <c r="C585" s="111" t="s">
        <v>49</v>
      </c>
      <c r="D585" s="111" t="s">
        <v>89</v>
      </c>
      <c r="E585" s="112">
        <v>192238000</v>
      </c>
      <c r="F585" s="112">
        <f t="shared" si="18"/>
        <v>0</v>
      </c>
      <c r="G585" s="112">
        <v>192238000</v>
      </c>
      <c r="H585" s="113">
        <v>100</v>
      </c>
      <c r="I585" s="60"/>
      <c r="J585" s="60"/>
    </row>
    <row r="586" spans="1:10" ht="24.75" thickBot="1" x14ac:dyDescent="0.3">
      <c r="A586" s="111" t="s">
        <v>1521</v>
      </c>
      <c r="B586" s="112">
        <v>191437000</v>
      </c>
      <c r="C586" s="111" t="s">
        <v>49</v>
      </c>
      <c r="D586" s="111" t="s">
        <v>89</v>
      </c>
      <c r="E586" s="112">
        <v>191437000</v>
      </c>
      <c r="F586" s="112">
        <f t="shared" si="18"/>
        <v>0</v>
      </c>
      <c r="G586" s="112">
        <v>191437000</v>
      </c>
      <c r="H586" s="113">
        <v>100</v>
      </c>
      <c r="I586" s="60"/>
      <c r="J586" s="60"/>
    </row>
    <row r="587" spans="1:10" ht="24.75" thickBot="1" x14ac:dyDescent="0.3">
      <c r="A587" s="111" t="s">
        <v>1522</v>
      </c>
      <c r="B587" s="112">
        <v>192144000</v>
      </c>
      <c r="C587" s="111" t="s">
        <v>49</v>
      </c>
      <c r="D587" s="111" t="s">
        <v>89</v>
      </c>
      <c r="E587" s="112">
        <v>192144000</v>
      </c>
      <c r="F587" s="112">
        <f t="shared" si="18"/>
        <v>0</v>
      </c>
      <c r="G587" s="112">
        <v>192144000</v>
      </c>
      <c r="H587" s="113">
        <v>100</v>
      </c>
      <c r="I587" s="60"/>
      <c r="J587" s="60"/>
    </row>
    <row r="588" spans="1:10" ht="12.75" thickBot="1" x14ac:dyDescent="0.3">
      <c r="A588" s="111" t="s">
        <v>1523</v>
      </c>
      <c r="B588" s="112">
        <v>190500000</v>
      </c>
      <c r="C588" s="111" t="s">
        <v>49</v>
      </c>
      <c r="D588" s="111" t="s">
        <v>89</v>
      </c>
      <c r="E588" s="112">
        <v>190340000</v>
      </c>
      <c r="F588" s="112">
        <f t="shared" si="18"/>
        <v>160000</v>
      </c>
      <c r="G588" s="112">
        <v>190340000</v>
      </c>
      <c r="H588" s="113">
        <v>100</v>
      </c>
      <c r="I588" s="60"/>
      <c r="J588" s="60"/>
    </row>
    <row r="589" spans="1:10" ht="24.75" thickBot="1" x14ac:dyDescent="0.3">
      <c r="A589" s="111" t="s">
        <v>1524</v>
      </c>
      <c r="B589" s="112">
        <v>191000000</v>
      </c>
      <c r="C589" s="111" t="s">
        <v>49</v>
      </c>
      <c r="D589" s="111" t="s">
        <v>89</v>
      </c>
      <c r="E589" s="112">
        <v>190928800</v>
      </c>
      <c r="F589" s="112">
        <f t="shared" si="18"/>
        <v>71200</v>
      </c>
      <c r="G589" s="112">
        <v>190928800</v>
      </c>
      <c r="H589" s="113">
        <v>100</v>
      </c>
      <c r="I589" s="60"/>
      <c r="J589" s="60"/>
    </row>
    <row r="590" spans="1:10" ht="12.75" thickBot="1" x14ac:dyDescent="0.3">
      <c r="A590" s="111" t="s">
        <v>1525</v>
      </c>
      <c r="B590" s="112">
        <v>190000000</v>
      </c>
      <c r="C590" s="111" t="s">
        <v>49</v>
      </c>
      <c r="D590" s="111" t="s">
        <v>89</v>
      </c>
      <c r="E590" s="112">
        <v>189896000</v>
      </c>
      <c r="F590" s="112">
        <f t="shared" si="18"/>
        <v>104000</v>
      </c>
      <c r="G590" s="112">
        <v>189896000</v>
      </c>
      <c r="H590" s="113">
        <v>100</v>
      </c>
      <c r="I590" s="60"/>
      <c r="J590" s="60"/>
    </row>
    <row r="591" spans="1:10" ht="24.75" thickBot="1" x14ac:dyDescent="0.3">
      <c r="A591" s="111" t="s">
        <v>1526</v>
      </c>
      <c r="B591" s="112">
        <v>191000000</v>
      </c>
      <c r="C591" s="111" t="s">
        <v>49</v>
      </c>
      <c r="D591" s="111" t="s">
        <v>89</v>
      </c>
      <c r="E591" s="112">
        <v>190306900</v>
      </c>
      <c r="F591" s="112">
        <f t="shared" si="18"/>
        <v>693100</v>
      </c>
      <c r="G591" s="112">
        <v>190306900</v>
      </c>
      <c r="H591" s="113">
        <v>100</v>
      </c>
      <c r="I591" s="60"/>
      <c r="J591" s="60"/>
    </row>
    <row r="592" spans="1:10" ht="12.75" thickBot="1" x14ac:dyDescent="0.3">
      <c r="A592" s="111" t="s">
        <v>1527</v>
      </c>
      <c r="B592" s="112">
        <v>191000000</v>
      </c>
      <c r="C592" s="111" t="s">
        <v>49</v>
      </c>
      <c r="D592" s="111" t="s">
        <v>89</v>
      </c>
      <c r="E592" s="112">
        <v>190847000</v>
      </c>
      <c r="F592" s="112">
        <f t="shared" si="18"/>
        <v>153000</v>
      </c>
      <c r="G592" s="112">
        <v>190847000</v>
      </c>
      <c r="H592" s="113">
        <v>100</v>
      </c>
      <c r="I592" s="60"/>
      <c r="J592" s="60"/>
    </row>
    <row r="593" spans="1:10" ht="12.75" thickBot="1" x14ac:dyDescent="0.3">
      <c r="A593" s="111" t="s">
        <v>1528</v>
      </c>
      <c r="B593" s="112">
        <v>190000000</v>
      </c>
      <c r="C593" s="111" t="s">
        <v>49</v>
      </c>
      <c r="D593" s="111" t="s">
        <v>89</v>
      </c>
      <c r="E593" s="112">
        <v>189026000</v>
      </c>
      <c r="F593" s="112">
        <f t="shared" si="18"/>
        <v>974000</v>
      </c>
      <c r="G593" s="112">
        <v>189026000</v>
      </c>
      <c r="H593" s="113">
        <v>100</v>
      </c>
      <c r="I593" s="60"/>
      <c r="J593" s="60"/>
    </row>
    <row r="594" spans="1:10" ht="24.75" thickBot="1" x14ac:dyDescent="0.3">
      <c r="A594" s="111" t="s">
        <v>1529</v>
      </c>
      <c r="B594" s="112">
        <v>191000000</v>
      </c>
      <c r="C594" s="111" t="s">
        <v>49</v>
      </c>
      <c r="D594" s="111" t="s">
        <v>89</v>
      </c>
      <c r="E594" s="112">
        <v>190041000</v>
      </c>
      <c r="F594" s="112">
        <f t="shared" si="18"/>
        <v>959000</v>
      </c>
      <c r="G594" s="112">
        <v>190041000</v>
      </c>
      <c r="H594" s="113">
        <v>100</v>
      </c>
      <c r="I594" s="60"/>
      <c r="J594" s="60"/>
    </row>
    <row r="595" spans="1:10" ht="12.75" thickBot="1" x14ac:dyDescent="0.3">
      <c r="A595" s="111" t="s">
        <v>1530</v>
      </c>
      <c r="B595" s="112">
        <v>189000000</v>
      </c>
      <c r="C595" s="111" t="s">
        <v>49</v>
      </c>
      <c r="D595" s="111" t="s">
        <v>89</v>
      </c>
      <c r="E595" s="112">
        <v>188994000</v>
      </c>
      <c r="F595" s="112">
        <f t="shared" si="18"/>
        <v>6000</v>
      </c>
      <c r="G595" s="112">
        <v>188994000</v>
      </c>
      <c r="H595" s="113">
        <v>100</v>
      </c>
      <c r="I595" s="60"/>
      <c r="J595" s="60"/>
    </row>
    <row r="596" spans="1:10" ht="24.75" thickBot="1" x14ac:dyDescent="0.3">
      <c r="A596" s="111" t="s">
        <v>1531</v>
      </c>
      <c r="B596" s="112">
        <v>96300000</v>
      </c>
      <c r="C596" s="111" t="s">
        <v>49</v>
      </c>
      <c r="D596" s="111" t="s">
        <v>89</v>
      </c>
      <c r="E596" s="112">
        <v>96270000</v>
      </c>
      <c r="F596" s="112">
        <f t="shared" si="18"/>
        <v>30000</v>
      </c>
      <c r="G596" s="112">
        <v>96270000</v>
      </c>
      <c r="H596" s="113">
        <v>100</v>
      </c>
      <c r="I596" s="60"/>
      <c r="J596" s="60"/>
    </row>
    <row r="597" spans="1:10" ht="24.75" thickBot="1" x14ac:dyDescent="0.3">
      <c r="A597" s="111" t="s">
        <v>1532</v>
      </c>
      <c r="B597" s="112">
        <v>97200000</v>
      </c>
      <c r="C597" s="111" t="s">
        <v>49</v>
      </c>
      <c r="D597" s="111" t="s">
        <v>89</v>
      </c>
      <c r="E597" s="112">
        <v>97112600</v>
      </c>
      <c r="F597" s="112">
        <f t="shared" si="18"/>
        <v>87400</v>
      </c>
      <c r="G597" s="112">
        <v>97112600</v>
      </c>
      <c r="H597" s="113">
        <v>100</v>
      </c>
      <c r="I597" s="60"/>
      <c r="J597" s="60"/>
    </row>
    <row r="598" spans="1:10" ht="24.75" thickBot="1" x14ac:dyDescent="0.3">
      <c r="A598" s="111" t="s">
        <v>1533</v>
      </c>
      <c r="B598" s="112">
        <v>97200000</v>
      </c>
      <c r="C598" s="111" t="s">
        <v>49</v>
      </c>
      <c r="D598" s="111" t="s">
        <v>89</v>
      </c>
      <c r="E598" s="112">
        <v>97112600</v>
      </c>
      <c r="F598" s="112">
        <f t="shared" si="18"/>
        <v>87400</v>
      </c>
      <c r="G598" s="112">
        <v>97112600</v>
      </c>
      <c r="H598" s="113">
        <v>100</v>
      </c>
      <c r="I598" s="60"/>
      <c r="J598" s="60"/>
    </row>
    <row r="599" spans="1:10" ht="24.75" thickBot="1" x14ac:dyDescent="0.3">
      <c r="A599" s="111" t="s">
        <v>1534</v>
      </c>
      <c r="B599" s="112">
        <v>96164000</v>
      </c>
      <c r="C599" s="111" t="s">
        <v>49</v>
      </c>
      <c r="D599" s="111" t="s">
        <v>89</v>
      </c>
      <c r="E599" s="112">
        <v>96164000</v>
      </c>
      <c r="F599" s="112">
        <f t="shared" si="18"/>
        <v>0</v>
      </c>
      <c r="G599" s="112">
        <v>96164000</v>
      </c>
      <c r="H599" s="113">
        <v>100</v>
      </c>
      <c r="I599" s="60"/>
      <c r="J599" s="60"/>
    </row>
    <row r="600" spans="1:10" ht="12.75" thickBot="1" x14ac:dyDescent="0.3">
      <c r="A600" s="111" t="s">
        <v>1535</v>
      </c>
      <c r="B600" s="112">
        <v>191000000</v>
      </c>
      <c r="C600" s="111" t="s">
        <v>49</v>
      </c>
      <c r="D600" s="111" t="s">
        <v>89</v>
      </c>
      <c r="E600" s="112">
        <v>190125000</v>
      </c>
      <c r="F600" s="112">
        <f t="shared" si="18"/>
        <v>875000</v>
      </c>
      <c r="G600" s="112">
        <v>190125000</v>
      </c>
      <c r="H600" s="113">
        <v>100</v>
      </c>
      <c r="I600" s="60"/>
      <c r="J600" s="60"/>
    </row>
    <row r="601" spans="1:10" ht="12.75" thickBot="1" x14ac:dyDescent="0.3">
      <c r="A601" s="111" t="s">
        <v>1536</v>
      </c>
      <c r="B601" s="112">
        <v>190000000</v>
      </c>
      <c r="C601" s="111" t="s">
        <v>49</v>
      </c>
      <c r="D601" s="111" t="s">
        <v>89</v>
      </c>
      <c r="E601" s="112">
        <v>189643000</v>
      </c>
      <c r="F601" s="112">
        <f t="shared" si="18"/>
        <v>357000</v>
      </c>
      <c r="G601" s="112">
        <v>189643000</v>
      </c>
      <c r="H601" s="113">
        <v>100</v>
      </c>
      <c r="I601" s="60"/>
      <c r="J601" s="60"/>
    </row>
    <row r="602" spans="1:10" ht="12.75" thickBot="1" x14ac:dyDescent="0.3">
      <c r="A602" s="111" t="s">
        <v>1537</v>
      </c>
      <c r="B602" s="112">
        <v>191000000</v>
      </c>
      <c r="C602" s="111" t="s">
        <v>49</v>
      </c>
      <c r="D602" s="111" t="s">
        <v>89</v>
      </c>
      <c r="E602" s="112">
        <v>190555000</v>
      </c>
      <c r="F602" s="112">
        <f t="shared" si="18"/>
        <v>445000</v>
      </c>
      <c r="G602" s="112">
        <v>190555000</v>
      </c>
      <c r="H602" s="113">
        <v>100</v>
      </c>
      <c r="I602" s="60"/>
      <c r="J602" s="60"/>
    </row>
    <row r="603" spans="1:10" ht="12.75" thickBot="1" x14ac:dyDescent="0.3">
      <c r="A603" s="111" t="s">
        <v>1538</v>
      </c>
      <c r="B603" s="112">
        <v>189000000</v>
      </c>
      <c r="C603" s="111" t="s">
        <v>49</v>
      </c>
      <c r="D603" s="111" t="s">
        <v>89</v>
      </c>
      <c r="E603" s="112">
        <v>188730000</v>
      </c>
      <c r="F603" s="112">
        <f t="shared" si="18"/>
        <v>270000</v>
      </c>
      <c r="G603" s="112">
        <v>188730000</v>
      </c>
      <c r="H603" s="113">
        <v>100</v>
      </c>
      <c r="I603" s="60"/>
      <c r="J603" s="60"/>
    </row>
    <row r="604" spans="1:10" ht="12.75" thickBot="1" x14ac:dyDescent="0.3">
      <c r="A604" s="111" t="s">
        <v>1539</v>
      </c>
      <c r="B604" s="112">
        <v>192911000</v>
      </c>
      <c r="C604" s="111" t="s">
        <v>49</v>
      </c>
      <c r="D604" s="111" t="s">
        <v>89</v>
      </c>
      <c r="E604" s="112">
        <v>192911000</v>
      </c>
      <c r="F604" s="112">
        <f t="shared" si="18"/>
        <v>0</v>
      </c>
      <c r="G604" s="112">
        <v>192911000</v>
      </c>
      <c r="H604" s="113">
        <v>100</v>
      </c>
      <c r="I604" s="60"/>
      <c r="J604" s="60"/>
    </row>
    <row r="605" spans="1:10" ht="24.75" thickBot="1" x14ac:dyDescent="0.3">
      <c r="A605" s="111" t="s">
        <v>1540</v>
      </c>
      <c r="B605" s="112">
        <v>191000000</v>
      </c>
      <c r="C605" s="111" t="s">
        <v>49</v>
      </c>
      <c r="D605" s="111" t="s">
        <v>89</v>
      </c>
      <c r="E605" s="112">
        <v>190623000</v>
      </c>
      <c r="F605" s="112">
        <f t="shared" si="18"/>
        <v>377000</v>
      </c>
      <c r="G605" s="112">
        <v>190623000</v>
      </c>
      <c r="H605" s="113">
        <v>100</v>
      </c>
      <c r="I605" s="60"/>
      <c r="J605" s="60"/>
    </row>
    <row r="606" spans="1:10" ht="24.75" thickBot="1" x14ac:dyDescent="0.3">
      <c r="A606" s="111" t="s">
        <v>1541</v>
      </c>
      <c r="B606" s="112">
        <v>189000000</v>
      </c>
      <c r="C606" s="111" t="s">
        <v>49</v>
      </c>
      <c r="D606" s="111" t="s">
        <v>89</v>
      </c>
      <c r="E606" s="112">
        <v>188462000</v>
      </c>
      <c r="F606" s="112">
        <f t="shared" si="18"/>
        <v>538000</v>
      </c>
      <c r="G606" s="112">
        <v>188462000</v>
      </c>
      <c r="H606" s="113">
        <v>100</v>
      </c>
      <c r="I606" s="60"/>
      <c r="J606" s="60"/>
    </row>
    <row r="607" spans="1:10" ht="12.75" thickBot="1" x14ac:dyDescent="0.3">
      <c r="A607" s="111" t="s">
        <v>1542</v>
      </c>
      <c r="B607" s="112">
        <v>189000000</v>
      </c>
      <c r="C607" s="111" t="s">
        <v>49</v>
      </c>
      <c r="D607" s="111" t="s">
        <v>89</v>
      </c>
      <c r="E607" s="112">
        <v>188605000</v>
      </c>
      <c r="F607" s="112">
        <f t="shared" si="18"/>
        <v>395000</v>
      </c>
      <c r="G607" s="112">
        <v>188605000</v>
      </c>
      <c r="H607" s="113">
        <v>100</v>
      </c>
      <c r="I607" s="60"/>
      <c r="J607" s="60"/>
    </row>
    <row r="608" spans="1:10" ht="24.75" thickBot="1" x14ac:dyDescent="0.3">
      <c r="A608" s="111" t="s">
        <v>1543</v>
      </c>
      <c r="B608" s="112">
        <v>191000000</v>
      </c>
      <c r="C608" s="111" t="s">
        <v>49</v>
      </c>
      <c r="D608" s="111" t="s">
        <v>89</v>
      </c>
      <c r="E608" s="112">
        <v>190297000</v>
      </c>
      <c r="F608" s="112">
        <f t="shared" si="18"/>
        <v>703000</v>
      </c>
      <c r="G608" s="112">
        <v>190297000</v>
      </c>
      <c r="H608" s="113">
        <v>100</v>
      </c>
      <c r="I608" s="60"/>
      <c r="J608" s="60"/>
    </row>
    <row r="609" spans="1:10" ht="12.75" thickBot="1" x14ac:dyDescent="0.3">
      <c r="A609" s="111" t="s">
        <v>1544</v>
      </c>
      <c r="B609" s="112">
        <v>190000000</v>
      </c>
      <c r="C609" s="111" t="s">
        <v>49</v>
      </c>
      <c r="D609" s="111" t="s">
        <v>89</v>
      </c>
      <c r="E609" s="112">
        <v>189567000</v>
      </c>
      <c r="F609" s="112">
        <f t="shared" si="18"/>
        <v>433000</v>
      </c>
      <c r="G609" s="112">
        <v>189567000</v>
      </c>
      <c r="H609" s="113">
        <v>100</v>
      </c>
      <c r="I609" s="60"/>
      <c r="J609" s="60"/>
    </row>
    <row r="610" spans="1:10" ht="12.75" thickBot="1" x14ac:dyDescent="0.3">
      <c r="A610" s="111" t="s">
        <v>1545</v>
      </c>
      <c r="B610" s="112">
        <v>189000000</v>
      </c>
      <c r="C610" s="111" t="s">
        <v>49</v>
      </c>
      <c r="D610" s="111" t="s">
        <v>89</v>
      </c>
      <c r="E610" s="112">
        <v>188385000</v>
      </c>
      <c r="F610" s="112">
        <f t="shared" si="18"/>
        <v>615000</v>
      </c>
      <c r="G610" s="112">
        <v>188385000</v>
      </c>
      <c r="H610" s="113">
        <v>100</v>
      </c>
      <c r="I610" s="60"/>
      <c r="J610" s="60"/>
    </row>
    <row r="611" spans="1:10" ht="24.75" thickBot="1" x14ac:dyDescent="0.3">
      <c r="A611" s="111" t="s">
        <v>1546</v>
      </c>
      <c r="B611" s="112">
        <v>189000000</v>
      </c>
      <c r="C611" s="111" t="s">
        <v>49</v>
      </c>
      <c r="D611" s="111" t="s">
        <v>89</v>
      </c>
      <c r="E611" s="112">
        <v>188436000</v>
      </c>
      <c r="F611" s="112">
        <f t="shared" si="18"/>
        <v>564000</v>
      </c>
      <c r="G611" s="112">
        <v>188436000</v>
      </c>
      <c r="H611" s="113">
        <v>100</v>
      </c>
      <c r="I611" s="60"/>
      <c r="J611" s="60"/>
    </row>
    <row r="612" spans="1:10" ht="24.75" thickBot="1" x14ac:dyDescent="0.3">
      <c r="A612" s="111" t="s">
        <v>1547</v>
      </c>
      <c r="B612" s="112">
        <v>192000000</v>
      </c>
      <c r="C612" s="111" t="s">
        <v>49</v>
      </c>
      <c r="D612" s="111" t="s">
        <v>89</v>
      </c>
      <c r="E612" s="112">
        <v>191929000</v>
      </c>
      <c r="F612" s="112">
        <f t="shared" si="18"/>
        <v>71000</v>
      </c>
      <c r="G612" s="112">
        <v>191929000</v>
      </c>
      <c r="H612" s="113">
        <v>100</v>
      </c>
      <c r="I612" s="60"/>
      <c r="J612" s="60"/>
    </row>
    <row r="613" spans="1:10" ht="12.75" thickBot="1" x14ac:dyDescent="0.3">
      <c r="A613" s="111" t="s">
        <v>1548</v>
      </c>
      <c r="B613" s="112">
        <v>144967000</v>
      </c>
      <c r="C613" s="111" t="s">
        <v>49</v>
      </c>
      <c r="D613" s="111" t="s">
        <v>89</v>
      </c>
      <c r="E613" s="112">
        <v>144967000</v>
      </c>
      <c r="F613" s="112">
        <f t="shared" si="18"/>
        <v>0</v>
      </c>
      <c r="G613" s="112">
        <v>144967000</v>
      </c>
      <c r="H613" s="113">
        <v>100</v>
      </c>
      <c r="I613" s="60"/>
      <c r="J613" s="60"/>
    </row>
    <row r="614" spans="1:10" ht="24.75" thickBot="1" x14ac:dyDescent="0.3">
      <c r="A614" s="111" t="s">
        <v>1549</v>
      </c>
      <c r="B614" s="112">
        <v>191433000</v>
      </c>
      <c r="C614" s="111" t="s">
        <v>49</v>
      </c>
      <c r="D614" s="111" t="s">
        <v>89</v>
      </c>
      <c r="E614" s="112">
        <v>191433000</v>
      </c>
      <c r="F614" s="112">
        <f t="shared" si="18"/>
        <v>0</v>
      </c>
      <c r="G614" s="112">
        <v>191433000</v>
      </c>
      <c r="H614" s="113">
        <v>100</v>
      </c>
      <c r="I614" s="60"/>
      <c r="J614" s="60"/>
    </row>
    <row r="615" spans="1:10" ht="24.75" thickBot="1" x14ac:dyDescent="0.3">
      <c r="A615" s="111" t="s">
        <v>1550</v>
      </c>
      <c r="B615" s="112">
        <v>191370000</v>
      </c>
      <c r="C615" s="111" t="s">
        <v>49</v>
      </c>
      <c r="D615" s="111" t="s">
        <v>89</v>
      </c>
      <c r="E615" s="112">
        <v>191370000</v>
      </c>
      <c r="F615" s="112">
        <f t="shared" si="18"/>
        <v>0</v>
      </c>
      <c r="G615" s="112">
        <v>191370000</v>
      </c>
      <c r="H615" s="113">
        <v>100</v>
      </c>
      <c r="I615" s="60"/>
      <c r="J615" s="60"/>
    </row>
    <row r="616" spans="1:10" ht="24.75" thickBot="1" x14ac:dyDescent="0.3">
      <c r="A616" s="111" t="s">
        <v>1551</v>
      </c>
      <c r="B616" s="112">
        <v>189000000</v>
      </c>
      <c r="C616" s="111" t="s">
        <v>49</v>
      </c>
      <c r="D616" s="111" t="s">
        <v>89</v>
      </c>
      <c r="E616" s="112">
        <v>188780000</v>
      </c>
      <c r="F616" s="112">
        <f t="shared" si="18"/>
        <v>220000</v>
      </c>
      <c r="G616" s="112">
        <v>188780000</v>
      </c>
      <c r="H616" s="113">
        <v>100</v>
      </c>
      <c r="I616" s="60"/>
      <c r="J616" s="60"/>
    </row>
    <row r="617" spans="1:10" ht="12.75" thickBot="1" x14ac:dyDescent="0.3">
      <c r="A617" s="111" t="s">
        <v>1552</v>
      </c>
      <c r="B617" s="112">
        <v>190000000</v>
      </c>
      <c r="C617" s="111" t="s">
        <v>49</v>
      </c>
      <c r="D617" s="111" t="s">
        <v>89</v>
      </c>
      <c r="E617" s="112">
        <v>189752000</v>
      </c>
      <c r="F617" s="112">
        <f t="shared" si="18"/>
        <v>248000</v>
      </c>
      <c r="G617" s="112">
        <v>189752000</v>
      </c>
      <c r="H617" s="113">
        <v>100</v>
      </c>
      <c r="I617" s="60"/>
      <c r="J617" s="60"/>
    </row>
    <row r="618" spans="1:10" ht="24.75" thickBot="1" x14ac:dyDescent="0.3">
      <c r="A618" s="111" t="s">
        <v>1553</v>
      </c>
      <c r="B618" s="112">
        <v>190000000</v>
      </c>
      <c r="C618" s="111" t="s">
        <v>49</v>
      </c>
      <c r="D618" s="111" t="s">
        <v>89</v>
      </c>
      <c r="E618" s="112">
        <v>189453000</v>
      </c>
      <c r="F618" s="112">
        <f t="shared" si="18"/>
        <v>547000</v>
      </c>
      <c r="G618" s="112">
        <v>189453000</v>
      </c>
      <c r="H618" s="113">
        <v>100</v>
      </c>
      <c r="I618" s="60"/>
      <c r="J618" s="60"/>
    </row>
    <row r="619" spans="1:10" ht="24.75" thickBot="1" x14ac:dyDescent="0.3">
      <c r="A619" s="111" t="s">
        <v>1554</v>
      </c>
      <c r="B619" s="112">
        <v>192738000</v>
      </c>
      <c r="C619" s="111" t="s">
        <v>49</v>
      </c>
      <c r="D619" s="111" t="s">
        <v>89</v>
      </c>
      <c r="E619" s="112">
        <v>192738000</v>
      </c>
      <c r="F619" s="112">
        <f t="shared" si="18"/>
        <v>0</v>
      </c>
      <c r="G619" s="112">
        <v>192738000</v>
      </c>
      <c r="H619" s="113">
        <v>100</v>
      </c>
      <c r="I619" s="60"/>
      <c r="J619" s="60"/>
    </row>
    <row r="620" spans="1:10" ht="24.75" thickBot="1" x14ac:dyDescent="0.3">
      <c r="A620" s="111" t="s">
        <v>1555</v>
      </c>
      <c r="B620" s="112">
        <v>189000000</v>
      </c>
      <c r="C620" s="111" t="s">
        <v>49</v>
      </c>
      <c r="D620" s="111" t="s">
        <v>89</v>
      </c>
      <c r="E620" s="112">
        <v>188390000</v>
      </c>
      <c r="F620" s="112">
        <f t="shared" si="18"/>
        <v>610000</v>
      </c>
      <c r="G620" s="112">
        <v>188390000</v>
      </c>
      <c r="H620" s="113">
        <v>100</v>
      </c>
      <c r="I620" s="60"/>
      <c r="J620" s="60"/>
    </row>
    <row r="621" spans="1:10" ht="12.75" thickBot="1" x14ac:dyDescent="0.3">
      <c r="A621" s="111" t="s">
        <v>1556</v>
      </c>
      <c r="B621" s="112">
        <v>145100000</v>
      </c>
      <c r="C621" s="111" t="s">
        <v>49</v>
      </c>
      <c r="D621" s="111" t="s">
        <v>89</v>
      </c>
      <c r="E621" s="112">
        <v>145097000</v>
      </c>
      <c r="F621" s="112">
        <f t="shared" si="18"/>
        <v>3000</v>
      </c>
      <c r="G621" s="112">
        <v>145097000</v>
      </c>
      <c r="H621" s="113">
        <v>100</v>
      </c>
      <c r="I621" s="60"/>
      <c r="J621" s="60"/>
    </row>
    <row r="622" spans="1:10" ht="12.75" thickBot="1" x14ac:dyDescent="0.3">
      <c r="A622" s="111" t="s">
        <v>1557</v>
      </c>
      <c r="B622" s="112">
        <v>192062000</v>
      </c>
      <c r="C622" s="111" t="s">
        <v>49</v>
      </c>
      <c r="D622" s="111" t="s">
        <v>89</v>
      </c>
      <c r="E622" s="112">
        <v>192062000</v>
      </c>
      <c r="F622" s="112">
        <f t="shared" si="18"/>
        <v>0</v>
      </c>
      <c r="G622" s="112">
        <v>192062000</v>
      </c>
      <c r="H622" s="113">
        <v>100</v>
      </c>
      <c r="I622" s="60"/>
      <c r="J622" s="60"/>
    </row>
    <row r="623" spans="1:10" ht="24.75" thickBot="1" x14ac:dyDescent="0.3">
      <c r="A623" s="111" t="s">
        <v>1558</v>
      </c>
      <c r="B623" s="112">
        <v>191422000</v>
      </c>
      <c r="C623" s="111" t="s">
        <v>49</v>
      </c>
      <c r="D623" s="111" t="s">
        <v>89</v>
      </c>
      <c r="E623" s="112">
        <v>191422000</v>
      </c>
      <c r="F623" s="112">
        <f t="shared" si="18"/>
        <v>0</v>
      </c>
      <c r="G623" s="112">
        <v>191422000</v>
      </c>
      <c r="H623" s="113">
        <v>100</v>
      </c>
      <c r="I623" s="60"/>
      <c r="J623" s="60"/>
    </row>
    <row r="624" spans="1:10" ht="24.75" thickBot="1" x14ac:dyDescent="0.3">
      <c r="A624" s="111" t="s">
        <v>1559</v>
      </c>
      <c r="B624" s="112">
        <v>191268000</v>
      </c>
      <c r="C624" s="111" t="s">
        <v>49</v>
      </c>
      <c r="D624" s="111" t="s">
        <v>89</v>
      </c>
      <c r="E624" s="112">
        <v>191268000</v>
      </c>
      <c r="F624" s="112">
        <f t="shared" si="18"/>
        <v>0</v>
      </c>
      <c r="G624" s="112">
        <v>191268000</v>
      </c>
      <c r="H624" s="113">
        <v>100</v>
      </c>
      <c r="I624" s="60"/>
      <c r="J624" s="60"/>
    </row>
    <row r="625" spans="1:10" ht="12.75" thickBot="1" x14ac:dyDescent="0.3">
      <c r="A625" s="111" t="s">
        <v>1560</v>
      </c>
      <c r="B625" s="112">
        <v>191000000</v>
      </c>
      <c r="C625" s="111" t="s">
        <v>49</v>
      </c>
      <c r="D625" s="111" t="s">
        <v>89</v>
      </c>
      <c r="E625" s="112">
        <v>190337000</v>
      </c>
      <c r="F625" s="112">
        <f t="shared" si="18"/>
        <v>663000</v>
      </c>
      <c r="G625" s="112">
        <v>190337000</v>
      </c>
      <c r="H625" s="113">
        <v>100</v>
      </c>
      <c r="I625" s="60"/>
      <c r="J625" s="60"/>
    </row>
    <row r="626" spans="1:10" ht="12.75" thickBot="1" x14ac:dyDescent="0.3">
      <c r="A626" s="111" t="s">
        <v>1561</v>
      </c>
      <c r="B626" s="112">
        <v>190000000</v>
      </c>
      <c r="C626" s="111" t="s">
        <v>49</v>
      </c>
      <c r="D626" s="111" t="s">
        <v>89</v>
      </c>
      <c r="E626" s="112">
        <v>190000000</v>
      </c>
      <c r="F626" s="112">
        <f t="shared" si="18"/>
        <v>0</v>
      </c>
      <c r="G626" s="112">
        <v>190000000</v>
      </c>
      <c r="H626" s="113">
        <v>100</v>
      </c>
      <c r="I626" s="60"/>
      <c r="J626" s="60"/>
    </row>
    <row r="627" spans="1:10" ht="12.75" thickBot="1" x14ac:dyDescent="0.3">
      <c r="A627" s="111" t="s">
        <v>1562</v>
      </c>
      <c r="B627" s="112">
        <v>191963000</v>
      </c>
      <c r="C627" s="111" t="s">
        <v>49</v>
      </c>
      <c r="D627" s="111" t="s">
        <v>89</v>
      </c>
      <c r="E627" s="112">
        <v>191963000</v>
      </c>
      <c r="F627" s="112">
        <f t="shared" si="18"/>
        <v>0</v>
      </c>
      <c r="G627" s="112">
        <v>191963000</v>
      </c>
      <c r="H627" s="113">
        <v>100</v>
      </c>
      <c r="I627" s="60"/>
      <c r="J627" s="60"/>
    </row>
    <row r="628" spans="1:10" ht="24.75" thickBot="1" x14ac:dyDescent="0.3">
      <c r="A628" s="111" t="s">
        <v>1563</v>
      </c>
      <c r="B628" s="112">
        <v>192100000</v>
      </c>
      <c r="C628" s="111" t="s">
        <v>49</v>
      </c>
      <c r="D628" s="111" t="s">
        <v>89</v>
      </c>
      <c r="E628" s="112">
        <v>192022335</v>
      </c>
      <c r="F628" s="112">
        <f t="shared" si="18"/>
        <v>77665</v>
      </c>
      <c r="G628" s="112">
        <v>192022335</v>
      </c>
      <c r="H628" s="113">
        <v>100</v>
      </c>
      <c r="I628" s="60"/>
      <c r="J628" s="60"/>
    </row>
    <row r="629" spans="1:10" ht="24.75" thickBot="1" x14ac:dyDescent="0.3">
      <c r="A629" s="111" t="s">
        <v>1564</v>
      </c>
      <c r="B629" s="112">
        <v>192200000</v>
      </c>
      <c r="C629" s="111" t="s">
        <v>49</v>
      </c>
      <c r="D629" s="111" t="s">
        <v>89</v>
      </c>
      <c r="E629" s="112">
        <v>192183047</v>
      </c>
      <c r="F629" s="112">
        <f t="shared" si="18"/>
        <v>16953</v>
      </c>
      <c r="G629" s="112">
        <v>192183047</v>
      </c>
      <c r="H629" s="113">
        <v>100</v>
      </c>
      <c r="I629" s="60"/>
      <c r="J629" s="60"/>
    </row>
    <row r="630" spans="1:10" ht="24.75" thickBot="1" x14ac:dyDescent="0.3">
      <c r="A630" s="111" t="s">
        <v>1565</v>
      </c>
      <c r="B630" s="112">
        <v>192700000</v>
      </c>
      <c r="C630" s="111" t="s">
        <v>49</v>
      </c>
      <c r="D630" s="111" t="s">
        <v>89</v>
      </c>
      <c r="E630" s="112">
        <v>192602364</v>
      </c>
      <c r="F630" s="112">
        <f t="shared" si="18"/>
        <v>97636</v>
      </c>
      <c r="G630" s="112">
        <v>192602364</v>
      </c>
      <c r="H630" s="113">
        <v>100</v>
      </c>
      <c r="I630" s="60"/>
      <c r="J630" s="60"/>
    </row>
    <row r="631" spans="1:10" ht="24.75" thickBot="1" x14ac:dyDescent="0.3">
      <c r="A631" s="111" t="s">
        <v>1566</v>
      </c>
      <c r="B631" s="112">
        <v>191800000</v>
      </c>
      <c r="C631" s="111" t="s">
        <v>49</v>
      </c>
      <c r="D631" s="111" t="s">
        <v>89</v>
      </c>
      <c r="E631" s="112">
        <v>191752290</v>
      </c>
      <c r="F631" s="112">
        <f t="shared" si="18"/>
        <v>47710</v>
      </c>
      <c r="G631" s="112">
        <v>191752290</v>
      </c>
      <c r="H631" s="113">
        <v>100</v>
      </c>
      <c r="I631" s="60"/>
      <c r="J631" s="60"/>
    </row>
    <row r="632" spans="1:10" ht="24.75" thickBot="1" x14ac:dyDescent="0.3">
      <c r="A632" s="111" t="s">
        <v>1567</v>
      </c>
      <c r="B632" s="112">
        <v>193700000</v>
      </c>
      <c r="C632" s="111" t="s">
        <v>49</v>
      </c>
      <c r="D632" s="111" t="s">
        <v>89</v>
      </c>
      <c r="E632" s="112">
        <v>193645659</v>
      </c>
      <c r="F632" s="112">
        <f t="shared" si="18"/>
        <v>54341</v>
      </c>
      <c r="G632" s="112">
        <v>193645659</v>
      </c>
      <c r="H632" s="113">
        <v>100</v>
      </c>
      <c r="I632" s="60"/>
      <c r="J632" s="60"/>
    </row>
    <row r="633" spans="1:10" ht="24.75" thickBot="1" x14ac:dyDescent="0.3">
      <c r="A633" s="111" t="s">
        <v>1568</v>
      </c>
      <c r="B633" s="112">
        <v>192100000</v>
      </c>
      <c r="C633" s="111" t="s">
        <v>49</v>
      </c>
      <c r="D633" s="111" t="s">
        <v>89</v>
      </c>
      <c r="E633" s="112">
        <v>192000026</v>
      </c>
      <c r="F633" s="112">
        <f t="shared" si="18"/>
        <v>99974</v>
      </c>
      <c r="G633" s="112">
        <v>192000026</v>
      </c>
      <c r="H633" s="113">
        <v>100</v>
      </c>
      <c r="I633" s="60"/>
      <c r="J633" s="60"/>
    </row>
    <row r="634" spans="1:10" ht="24.75" thickBot="1" x14ac:dyDescent="0.3">
      <c r="A634" s="111" t="s">
        <v>1569</v>
      </c>
      <c r="B634" s="112">
        <v>192700000</v>
      </c>
      <c r="C634" s="111" t="s">
        <v>49</v>
      </c>
      <c r="D634" s="111" t="s">
        <v>89</v>
      </c>
      <c r="E634" s="112">
        <v>192686188</v>
      </c>
      <c r="F634" s="112">
        <f t="shared" si="18"/>
        <v>13812</v>
      </c>
      <c r="G634" s="112">
        <v>192686188</v>
      </c>
      <c r="H634" s="113">
        <v>100</v>
      </c>
      <c r="I634" s="60"/>
      <c r="J634" s="60"/>
    </row>
    <row r="635" spans="1:10" ht="24.75" thickBot="1" x14ac:dyDescent="0.3">
      <c r="A635" s="111" t="s">
        <v>1570</v>
      </c>
      <c r="B635" s="112">
        <v>192900000</v>
      </c>
      <c r="C635" s="111" t="s">
        <v>49</v>
      </c>
      <c r="D635" s="111" t="s">
        <v>89</v>
      </c>
      <c r="E635" s="112">
        <v>192855105</v>
      </c>
      <c r="F635" s="112">
        <f t="shared" si="18"/>
        <v>44895</v>
      </c>
      <c r="G635" s="112">
        <v>192855105</v>
      </c>
      <c r="H635" s="113">
        <v>100</v>
      </c>
    </row>
    <row r="636" spans="1:10" ht="24.75" thickBot="1" x14ac:dyDescent="0.3">
      <c r="A636" s="111" t="s">
        <v>1571</v>
      </c>
      <c r="B636" s="112">
        <v>192200000</v>
      </c>
      <c r="C636" s="111" t="s">
        <v>49</v>
      </c>
      <c r="D636" s="111" t="s">
        <v>89</v>
      </c>
      <c r="E636" s="112">
        <v>192127159</v>
      </c>
      <c r="F636" s="112">
        <f t="shared" si="18"/>
        <v>72841</v>
      </c>
      <c r="G636" s="112">
        <v>192127159</v>
      </c>
      <c r="H636" s="113">
        <v>100</v>
      </c>
      <c r="J636" s="81">
        <f>195138500-J638</f>
        <v>134426000</v>
      </c>
    </row>
    <row r="637" spans="1:10" ht="24.75" thickBot="1" x14ac:dyDescent="0.3">
      <c r="A637" s="111" t="s">
        <v>1572</v>
      </c>
      <c r="B637" s="112">
        <v>193500000</v>
      </c>
      <c r="C637" s="111" t="s">
        <v>49</v>
      </c>
      <c r="D637" s="111" t="s">
        <v>89</v>
      </c>
      <c r="E637" s="112">
        <v>193447305</v>
      </c>
      <c r="F637" s="112">
        <f t="shared" si="18"/>
        <v>52695</v>
      </c>
      <c r="G637" s="112">
        <v>193447305</v>
      </c>
      <c r="H637" s="113">
        <v>100</v>
      </c>
      <c r="J637" s="81">
        <f>103904500+27150000</f>
        <v>131054500</v>
      </c>
    </row>
    <row r="638" spans="1:10" ht="12.75" thickBot="1" x14ac:dyDescent="0.3">
      <c r="A638" s="111" t="s">
        <v>1573</v>
      </c>
      <c r="B638" s="112">
        <v>192400000</v>
      </c>
      <c r="C638" s="111" t="s">
        <v>49</v>
      </c>
      <c r="D638" s="111" t="s">
        <v>89</v>
      </c>
      <c r="E638" s="112">
        <v>192340930</v>
      </c>
      <c r="F638" s="112">
        <f t="shared" si="18"/>
        <v>59070</v>
      </c>
      <c r="G638" s="112">
        <v>192340930</v>
      </c>
      <c r="H638" s="113">
        <v>100</v>
      </c>
      <c r="J638" s="81">
        <f>191767000-J637</f>
        <v>60712500</v>
      </c>
    </row>
    <row r="639" spans="1:10" ht="24.75" thickBot="1" x14ac:dyDescent="0.3">
      <c r="A639" s="111" t="s">
        <v>1574</v>
      </c>
      <c r="B639" s="112">
        <v>192300000</v>
      </c>
      <c r="C639" s="111" t="s">
        <v>49</v>
      </c>
      <c r="D639" s="111" t="s">
        <v>89</v>
      </c>
      <c r="E639" s="112">
        <v>192263677</v>
      </c>
      <c r="F639" s="112">
        <f t="shared" si="18"/>
        <v>36323</v>
      </c>
      <c r="G639" s="112">
        <v>192263677</v>
      </c>
      <c r="H639" s="113">
        <v>100</v>
      </c>
    </row>
    <row r="640" spans="1:10" ht="12.75" thickBot="1" x14ac:dyDescent="0.3">
      <c r="A640" s="111" t="s">
        <v>1575</v>
      </c>
      <c r="B640" s="112">
        <f>410495000+208080000+1606000</f>
        <v>620181000</v>
      </c>
      <c r="C640" s="111" t="s">
        <v>19</v>
      </c>
      <c r="D640" s="111" t="s">
        <v>19</v>
      </c>
      <c r="E640" s="112">
        <v>0</v>
      </c>
      <c r="F640" s="112">
        <f t="shared" si="18"/>
        <v>187522500</v>
      </c>
      <c r="G640" s="112">
        <f>55548000+21434000+134426000+950000+59638000+160662500</f>
        <v>432658500</v>
      </c>
      <c r="H640" s="113">
        <f>G640/B640*100</f>
        <v>69.763262660416885</v>
      </c>
    </row>
    <row r="641" spans="1:10" ht="24.75" thickBot="1" x14ac:dyDescent="0.3">
      <c r="A641" s="111" t="s">
        <v>1576</v>
      </c>
      <c r="B641" s="137">
        <v>173000000</v>
      </c>
      <c r="C641" s="111" t="s">
        <v>49</v>
      </c>
      <c r="D641" s="111" t="s">
        <v>89</v>
      </c>
      <c r="E641" s="138">
        <v>171823000</v>
      </c>
      <c r="F641" s="112">
        <f t="shared" si="18"/>
        <v>1177000</v>
      </c>
      <c r="G641" s="138">
        <v>171823000</v>
      </c>
      <c r="H641" s="113">
        <v>100</v>
      </c>
      <c r="I641" s="60"/>
      <c r="J641" s="60"/>
    </row>
    <row r="642" spans="1:10" ht="24.75" thickBot="1" x14ac:dyDescent="0.3">
      <c r="A642" s="111" t="s">
        <v>1577</v>
      </c>
      <c r="B642" s="137">
        <v>193000000</v>
      </c>
      <c r="C642" s="111" t="s">
        <v>49</v>
      </c>
      <c r="D642" s="111" t="s">
        <v>89</v>
      </c>
      <c r="E642" s="138">
        <v>191252000</v>
      </c>
      <c r="F642" s="112">
        <f t="shared" si="18"/>
        <v>1748000</v>
      </c>
      <c r="G642" s="138">
        <v>191252000</v>
      </c>
      <c r="H642" s="113">
        <v>100</v>
      </c>
      <c r="I642" s="60"/>
      <c r="J642" s="60"/>
    </row>
    <row r="643" spans="1:10" ht="24.75" thickBot="1" x14ac:dyDescent="0.3">
      <c r="A643" s="111" t="s">
        <v>1578</v>
      </c>
      <c r="B643" s="137">
        <v>193000000</v>
      </c>
      <c r="C643" s="111" t="s">
        <v>49</v>
      </c>
      <c r="D643" s="111" t="s">
        <v>89</v>
      </c>
      <c r="E643" s="138">
        <v>191308000</v>
      </c>
      <c r="F643" s="112">
        <f t="shared" si="18"/>
        <v>1692000</v>
      </c>
      <c r="G643" s="138">
        <v>191308000</v>
      </c>
      <c r="H643" s="113">
        <v>100</v>
      </c>
      <c r="I643" s="60"/>
      <c r="J643" s="60"/>
    </row>
    <row r="644" spans="1:10" ht="24.75" thickBot="1" x14ac:dyDescent="0.3">
      <c r="A644" s="111" t="s">
        <v>1579</v>
      </c>
      <c r="B644" s="137">
        <v>195000000</v>
      </c>
      <c r="C644" s="111" t="s">
        <v>49</v>
      </c>
      <c r="D644" s="111" t="s">
        <v>89</v>
      </c>
      <c r="E644" s="138">
        <v>193385000</v>
      </c>
      <c r="F644" s="112">
        <f t="shared" ref="F644:F707" si="19">B644-G644</f>
        <v>1615000</v>
      </c>
      <c r="G644" s="138">
        <v>193385000</v>
      </c>
      <c r="H644" s="113">
        <v>100</v>
      </c>
    </row>
    <row r="645" spans="1:10" ht="24.75" thickBot="1" x14ac:dyDescent="0.3">
      <c r="A645" s="111" t="s">
        <v>1580</v>
      </c>
      <c r="B645" s="137">
        <v>100000000</v>
      </c>
      <c r="C645" s="111" t="s">
        <v>49</v>
      </c>
      <c r="D645" s="111" t="s">
        <v>89</v>
      </c>
      <c r="E645" s="138">
        <v>98927000</v>
      </c>
      <c r="F645" s="112">
        <f t="shared" si="19"/>
        <v>1073000</v>
      </c>
      <c r="G645" s="138">
        <v>98927000</v>
      </c>
      <c r="H645" s="113">
        <v>100</v>
      </c>
      <c r="J645" s="81">
        <f>195138500-J647</f>
        <v>134426000</v>
      </c>
    </row>
    <row r="646" spans="1:10" ht="24.75" thickBot="1" x14ac:dyDescent="0.3">
      <c r="A646" s="111" t="s">
        <v>1581</v>
      </c>
      <c r="B646" s="137">
        <v>100000000</v>
      </c>
      <c r="C646" s="111" t="s">
        <v>49</v>
      </c>
      <c r="D646" s="111" t="s">
        <v>89</v>
      </c>
      <c r="E646" s="138">
        <v>98757000</v>
      </c>
      <c r="F646" s="112">
        <f t="shared" si="19"/>
        <v>1243000</v>
      </c>
      <c r="G646" s="138">
        <v>98757000</v>
      </c>
      <c r="H646" s="113">
        <v>100</v>
      </c>
      <c r="J646" s="81">
        <f>103904500+27150000</f>
        <v>131054500</v>
      </c>
    </row>
    <row r="647" spans="1:10" ht="24.75" thickBot="1" x14ac:dyDescent="0.3">
      <c r="A647" s="111" t="s">
        <v>1582</v>
      </c>
      <c r="B647" s="139">
        <v>147000000</v>
      </c>
      <c r="C647" s="111" t="s">
        <v>49</v>
      </c>
      <c r="D647" s="111" t="s">
        <v>89</v>
      </c>
      <c r="E647" s="138">
        <v>145375000</v>
      </c>
      <c r="F647" s="112">
        <f t="shared" si="19"/>
        <v>1625000</v>
      </c>
      <c r="G647" s="138">
        <v>145375000</v>
      </c>
      <c r="H647" s="113">
        <v>100</v>
      </c>
      <c r="J647" s="81">
        <f>191767000-J646</f>
        <v>60712500</v>
      </c>
    </row>
    <row r="648" spans="1:10" ht="24.75" thickBot="1" x14ac:dyDescent="0.3">
      <c r="A648" s="111" t="s">
        <v>1583</v>
      </c>
      <c r="B648" s="137">
        <v>180000000</v>
      </c>
      <c r="C648" s="111" t="s">
        <v>49</v>
      </c>
      <c r="D648" s="111" t="s">
        <v>89</v>
      </c>
      <c r="E648" s="138">
        <v>178428000</v>
      </c>
      <c r="F648" s="112">
        <f t="shared" si="19"/>
        <v>1572000</v>
      </c>
      <c r="G648" s="138">
        <v>178428000</v>
      </c>
      <c r="H648" s="113">
        <v>100</v>
      </c>
    </row>
    <row r="649" spans="1:10" s="3" customFormat="1" ht="24.75" thickBot="1" x14ac:dyDescent="0.3">
      <c r="A649" s="121" t="s">
        <v>1584</v>
      </c>
      <c r="B649" s="112">
        <v>173000000</v>
      </c>
      <c r="C649" s="111" t="s">
        <v>49</v>
      </c>
      <c r="D649" s="111" t="s">
        <v>89</v>
      </c>
      <c r="E649" s="112">
        <v>170745950</v>
      </c>
      <c r="F649" s="112">
        <f t="shared" si="19"/>
        <v>2254050</v>
      </c>
      <c r="G649" s="112">
        <v>170745950</v>
      </c>
      <c r="H649" s="113">
        <v>100</v>
      </c>
    </row>
    <row r="650" spans="1:10" s="3" customFormat="1" ht="15.75" thickBot="1" x14ac:dyDescent="0.3">
      <c r="A650" s="121" t="s">
        <v>1585</v>
      </c>
      <c r="B650" s="112">
        <v>173000000</v>
      </c>
      <c r="C650" s="111" t="s">
        <v>49</v>
      </c>
      <c r="D650" s="111" t="s">
        <v>89</v>
      </c>
      <c r="E650" s="112">
        <v>170259000</v>
      </c>
      <c r="F650" s="112">
        <f t="shared" si="19"/>
        <v>2741000</v>
      </c>
      <c r="G650" s="112">
        <v>170259000</v>
      </c>
      <c r="H650" s="113">
        <v>100</v>
      </c>
    </row>
    <row r="651" spans="1:10" s="3" customFormat="1" ht="15.75" thickBot="1" x14ac:dyDescent="0.3">
      <c r="A651" s="121" t="s">
        <v>1586</v>
      </c>
      <c r="B651" s="112">
        <v>173000000</v>
      </c>
      <c r="C651" s="111" t="s">
        <v>49</v>
      </c>
      <c r="D651" s="111" t="s">
        <v>89</v>
      </c>
      <c r="E651" s="112">
        <v>169698000</v>
      </c>
      <c r="F651" s="112">
        <f t="shared" si="19"/>
        <v>3302000</v>
      </c>
      <c r="G651" s="112">
        <v>169698000</v>
      </c>
      <c r="H651" s="113">
        <v>100</v>
      </c>
    </row>
    <row r="652" spans="1:10" s="3" customFormat="1" ht="24.75" thickBot="1" x14ac:dyDescent="0.3">
      <c r="A652" s="121" t="s">
        <v>1587</v>
      </c>
      <c r="B652" s="112">
        <v>173000000</v>
      </c>
      <c r="C652" s="111" t="s">
        <v>49</v>
      </c>
      <c r="D652" s="111" t="s">
        <v>89</v>
      </c>
      <c r="E652" s="112">
        <v>170117900</v>
      </c>
      <c r="F652" s="112">
        <f t="shared" si="19"/>
        <v>2882100</v>
      </c>
      <c r="G652" s="112">
        <v>170117900</v>
      </c>
      <c r="H652" s="113">
        <v>100</v>
      </c>
    </row>
    <row r="653" spans="1:10" s="3" customFormat="1" ht="24.75" thickBot="1" x14ac:dyDescent="0.3">
      <c r="A653" s="121" t="s">
        <v>1588</v>
      </c>
      <c r="B653" s="112">
        <v>100000000</v>
      </c>
      <c r="C653" s="111" t="s">
        <v>49</v>
      </c>
      <c r="D653" s="111" t="s">
        <v>89</v>
      </c>
      <c r="E653" s="112">
        <v>97624400</v>
      </c>
      <c r="F653" s="112">
        <f t="shared" si="19"/>
        <v>2375600</v>
      </c>
      <c r="G653" s="112">
        <v>97624400</v>
      </c>
      <c r="H653" s="113">
        <v>100</v>
      </c>
    </row>
    <row r="654" spans="1:10" s="3" customFormat="1" ht="15.75" thickBot="1" x14ac:dyDescent="0.3">
      <c r="A654" s="121" t="s">
        <v>1589</v>
      </c>
      <c r="B654" s="112">
        <v>173000000</v>
      </c>
      <c r="C654" s="111" t="s">
        <v>49</v>
      </c>
      <c r="D654" s="111" t="s">
        <v>89</v>
      </c>
      <c r="E654" s="112">
        <v>170129000</v>
      </c>
      <c r="F654" s="112">
        <f t="shared" si="19"/>
        <v>2871000</v>
      </c>
      <c r="G654" s="112">
        <v>170129000</v>
      </c>
      <c r="H654" s="113">
        <v>100</v>
      </c>
    </row>
    <row r="655" spans="1:10" s="3" customFormat="1" ht="24.75" thickBot="1" x14ac:dyDescent="0.3">
      <c r="A655" s="121" t="s">
        <v>1590</v>
      </c>
      <c r="B655" s="112">
        <v>195000000</v>
      </c>
      <c r="C655" s="111" t="s">
        <v>49</v>
      </c>
      <c r="D655" s="111" t="s">
        <v>89</v>
      </c>
      <c r="E655" s="112">
        <v>191921400</v>
      </c>
      <c r="F655" s="112">
        <f t="shared" si="19"/>
        <v>3078600</v>
      </c>
      <c r="G655" s="112">
        <v>191921400</v>
      </c>
      <c r="H655" s="113">
        <v>100</v>
      </c>
    </row>
    <row r="656" spans="1:10" s="3" customFormat="1" ht="24.75" thickBot="1" x14ac:dyDescent="0.3">
      <c r="A656" s="121" t="s">
        <v>1591</v>
      </c>
      <c r="B656" s="112">
        <v>195000000</v>
      </c>
      <c r="C656" s="111" t="s">
        <v>49</v>
      </c>
      <c r="D656" s="111" t="s">
        <v>89</v>
      </c>
      <c r="E656" s="112">
        <v>191738900</v>
      </c>
      <c r="F656" s="112">
        <f t="shared" si="19"/>
        <v>3261100</v>
      </c>
      <c r="G656" s="112">
        <v>191738900</v>
      </c>
      <c r="H656" s="113">
        <v>100</v>
      </c>
    </row>
    <row r="657" spans="1:8" s="3" customFormat="1" ht="15.75" thickBot="1" x14ac:dyDescent="0.3">
      <c r="A657" s="111" t="s">
        <v>1592</v>
      </c>
      <c r="B657" s="112">
        <v>173000000</v>
      </c>
      <c r="C657" s="111" t="s">
        <v>49</v>
      </c>
      <c r="D657" s="111" t="s">
        <v>89</v>
      </c>
      <c r="E657" s="140">
        <v>170023000</v>
      </c>
      <c r="F657" s="112">
        <f t="shared" si="19"/>
        <v>2977000</v>
      </c>
      <c r="G657" s="140">
        <v>170023000</v>
      </c>
      <c r="H657" s="113">
        <v>100</v>
      </c>
    </row>
    <row r="658" spans="1:8" s="3" customFormat="1" ht="15.75" thickBot="1" x14ac:dyDescent="0.3">
      <c r="A658" s="111" t="s">
        <v>1593</v>
      </c>
      <c r="B658" s="112">
        <v>193000000</v>
      </c>
      <c r="C658" s="111" t="s">
        <v>49</v>
      </c>
      <c r="D658" s="111" t="s">
        <v>89</v>
      </c>
      <c r="E658" s="140">
        <v>189035000</v>
      </c>
      <c r="F658" s="112">
        <f t="shared" si="19"/>
        <v>3965000</v>
      </c>
      <c r="G658" s="140">
        <v>189035000</v>
      </c>
      <c r="H658" s="113">
        <v>100</v>
      </c>
    </row>
    <row r="659" spans="1:8" s="3" customFormat="1" ht="24.75" thickBot="1" x14ac:dyDescent="0.3">
      <c r="A659" s="111" t="s">
        <v>1594</v>
      </c>
      <c r="B659" s="112">
        <v>193000000</v>
      </c>
      <c r="C659" s="111" t="s">
        <v>49</v>
      </c>
      <c r="D659" s="111" t="s">
        <v>89</v>
      </c>
      <c r="E659" s="140">
        <v>188075000</v>
      </c>
      <c r="F659" s="112">
        <f t="shared" si="19"/>
        <v>4925000</v>
      </c>
      <c r="G659" s="140">
        <v>188075000</v>
      </c>
      <c r="H659" s="113">
        <v>100</v>
      </c>
    </row>
    <row r="660" spans="1:8" s="3" customFormat="1" ht="15.75" thickBot="1" x14ac:dyDescent="0.3">
      <c r="A660" s="111" t="s">
        <v>1595</v>
      </c>
      <c r="B660" s="112">
        <v>147000000</v>
      </c>
      <c r="C660" s="111" t="s">
        <v>49</v>
      </c>
      <c r="D660" s="111" t="s">
        <v>89</v>
      </c>
      <c r="E660" s="140">
        <v>144505000</v>
      </c>
      <c r="F660" s="112">
        <f t="shared" si="19"/>
        <v>2495000</v>
      </c>
      <c r="G660" s="140">
        <v>144505000</v>
      </c>
      <c r="H660" s="113">
        <v>100</v>
      </c>
    </row>
    <row r="661" spans="1:8" s="3" customFormat="1" ht="15.75" thickBot="1" x14ac:dyDescent="0.3">
      <c r="A661" s="111" t="s">
        <v>1596</v>
      </c>
      <c r="B661" s="112">
        <v>173000000</v>
      </c>
      <c r="C661" s="111" t="s">
        <v>49</v>
      </c>
      <c r="D661" s="111" t="s">
        <v>89</v>
      </c>
      <c r="E661" s="112">
        <v>170188000</v>
      </c>
      <c r="F661" s="112">
        <f t="shared" si="19"/>
        <v>2812000</v>
      </c>
      <c r="G661" s="112">
        <v>170188000</v>
      </c>
      <c r="H661" s="113">
        <v>100</v>
      </c>
    </row>
    <row r="662" spans="1:8" s="3" customFormat="1" ht="24.75" thickBot="1" x14ac:dyDescent="0.3">
      <c r="A662" s="111" t="s">
        <v>1597</v>
      </c>
      <c r="B662" s="112">
        <v>173000000</v>
      </c>
      <c r="C662" s="111" t="s">
        <v>49</v>
      </c>
      <c r="D662" s="111" t="s">
        <v>89</v>
      </c>
      <c r="E662" s="112">
        <v>169456000</v>
      </c>
      <c r="F662" s="112">
        <f t="shared" si="19"/>
        <v>3544000</v>
      </c>
      <c r="G662" s="112">
        <v>169456000</v>
      </c>
      <c r="H662" s="113">
        <v>100</v>
      </c>
    </row>
    <row r="663" spans="1:8" s="3" customFormat="1" ht="24.75" thickBot="1" x14ac:dyDescent="0.3">
      <c r="A663" s="111" t="s">
        <v>1598</v>
      </c>
      <c r="B663" s="112">
        <v>173000000</v>
      </c>
      <c r="C663" s="111" t="s">
        <v>49</v>
      </c>
      <c r="D663" s="111" t="s">
        <v>89</v>
      </c>
      <c r="E663" s="112">
        <v>169290000</v>
      </c>
      <c r="F663" s="112">
        <f t="shared" si="19"/>
        <v>3710000</v>
      </c>
      <c r="G663" s="112">
        <v>169290000</v>
      </c>
      <c r="H663" s="113">
        <v>100</v>
      </c>
    </row>
    <row r="664" spans="1:8" s="3" customFormat="1" ht="15.75" thickBot="1" x14ac:dyDescent="0.3">
      <c r="A664" s="111" t="s">
        <v>1599</v>
      </c>
      <c r="B664" s="112">
        <v>193000000</v>
      </c>
      <c r="C664" s="111" t="s">
        <v>49</v>
      </c>
      <c r="D664" s="111" t="s">
        <v>89</v>
      </c>
      <c r="E664" s="112">
        <v>189344000</v>
      </c>
      <c r="F664" s="112">
        <f t="shared" si="19"/>
        <v>3656000</v>
      </c>
      <c r="G664" s="112">
        <v>189344000</v>
      </c>
      <c r="H664" s="113">
        <v>100</v>
      </c>
    </row>
    <row r="665" spans="1:8" s="3" customFormat="1" ht="15.75" thickBot="1" x14ac:dyDescent="0.3">
      <c r="A665" s="111" t="s">
        <v>1600</v>
      </c>
      <c r="B665" s="112">
        <v>170000000</v>
      </c>
      <c r="C665" s="111" t="s">
        <v>49</v>
      </c>
      <c r="D665" s="111" t="s">
        <v>89</v>
      </c>
      <c r="E665" s="112">
        <v>167674000</v>
      </c>
      <c r="F665" s="112">
        <f t="shared" si="19"/>
        <v>2326000</v>
      </c>
      <c r="G665" s="112">
        <v>167674000</v>
      </c>
      <c r="H665" s="113">
        <v>100</v>
      </c>
    </row>
    <row r="666" spans="1:8" s="3" customFormat="1" ht="24.75" thickBot="1" x14ac:dyDescent="0.3">
      <c r="A666" s="111" t="s">
        <v>1601</v>
      </c>
      <c r="B666" s="112">
        <v>188000000</v>
      </c>
      <c r="C666" s="111" t="s">
        <v>49</v>
      </c>
      <c r="D666" s="111" t="s">
        <v>89</v>
      </c>
      <c r="E666" s="112">
        <v>183777000</v>
      </c>
      <c r="F666" s="112">
        <f t="shared" si="19"/>
        <v>4223000</v>
      </c>
      <c r="G666" s="112">
        <v>183777000</v>
      </c>
      <c r="H666" s="113">
        <v>100</v>
      </c>
    </row>
    <row r="667" spans="1:8" s="3" customFormat="1" ht="24.75" thickBot="1" x14ac:dyDescent="0.3">
      <c r="A667" s="111" t="s">
        <v>1602</v>
      </c>
      <c r="B667" s="112">
        <v>100000000</v>
      </c>
      <c r="C667" s="111" t="s">
        <v>49</v>
      </c>
      <c r="D667" s="111" t="s">
        <v>89</v>
      </c>
      <c r="E667" s="112">
        <v>98428000</v>
      </c>
      <c r="F667" s="112">
        <f t="shared" si="19"/>
        <v>1572000</v>
      </c>
      <c r="G667" s="112">
        <v>98428000</v>
      </c>
      <c r="H667" s="113">
        <v>100</v>
      </c>
    </row>
    <row r="668" spans="1:8" s="3" customFormat="1" ht="15.75" thickBot="1" x14ac:dyDescent="0.3">
      <c r="A668" s="111" t="s">
        <v>1603</v>
      </c>
      <c r="B668" s="112">
        <v>440000000</v>
      </c>
      <c r="C668" s="111" t="s">
        <v>49</v>
      </c>
      <c r="D668" s="111" t="s">
        <v>89</v>
      </c>
      <c r="E668" s="112">
        <v>437801000</v>
      </c>
      <c r="F668" s="112">
        <f t="shared" si="19"/>
        <v>2199000</v>
      </c>
      <c r="G668" s="112">
        <v>437801000</v>
      </c>
      <c r="H668" s="113">
        <v>100</v>
      </c>
    </row>
    <row r="669" spans="1:8" s="3" customFormat="1" ht="15.75" thickBot="1" x14ac:dyDescent="0.3">
      <c r="A669" s="111" t="s">
        <v>1604</v>
      </c>
      <c r="B669" s="112">
        <v>188000000</v>
      </c>
      <c r="C669" s="111" t="s">
        <v>49</v>
      </c>
      <c r="D669" s="111" t="s">
        <v>89</v>
      </c>
      <c r="E669" s="112">
        <v>184296000</v>
      </c>
      <c r="F669" s="112">
        <f t="shared" si="19"/>
        <v>3704000</v>
      </c>
      <c r="G669" s="112">
        <v>184296000</v>
      </c>
      <c r="H669" s="113">
        <v>100</v>
      </c>
    </row>
    <row r="670" spans="1:8" s="3" customFormat="1" ht="24.75" thickBot="1" x14ac:dyDescent="0.3">
      <c r="A670" s="111" t="s">
        <v>1605</v>
      </c>
      <c r="B670" s="112">
        <v>100000000</v>
      </c>
      <c r="C670" s="111" t="s">
        <v>49</v>
      </c>
      <c r="D670" s="111" t="s">
        <v>89</v>
      </c>
      <c r="E670" s="112">
        <v>96089000</v>
      </c>
      <c r="F670" s="112">
        <f t="shared" si="19"/>
        <v>3911000</v>
      </c>
      <c r="G670" s="112">
        <v>96089000</v>
      </c>
      <c r="H670" s="113">
        <v>100</v>
      </c>
    </row>
    <row r="671" spans="1:8" s="3" customFormat="1" ht="48.75" thickBot="1" x14ac:dyDescent="0.3">
      <c r="A671" s="111" t="s">
        <v>1606</v>
      </c>
      <c r="B671" s="112">
        <v>195000000</v>
      </c>
      <c r="C671" s="111" t="s">
        <v>49</v>
      </c>
      <c r="D671" s="111" t="s">
        <v>89</v>
      </c>
      <c r="E671" s="112">
        <v>191453000</v>
      </c>
      <c r="F671" s="112">
        <f t="shared" si="19"/>
        <v>3547000</v>
      </c>
      <c r="G671" s="112">
        <v>191453000</v>
      </c>
      <c r="H671" s="113">
        <v>100</v>
      </c>
    </row>
    <row r="672" spans="1:8" s="3" customFormat="1" ht="15.75" thickBot="1" x14ac:dyDescent="0.3">
      <c r="A672" s="111" t="s">
        <v>1607</v>
      </c>
      <c r="B672" s="112">
        <v>195000000</v>
      </c>
      <c r="C672" s="111" t="s">
        <v>49</v>
      </c>
      <c r="D672" s="111" t="s">
        <v>89</v>
      </c>
      <c r="E672" s="140">
        <v>190628000</v>
      </c>
      <c r="F672" s="112">
        <f t="shared" si="19"/>
        <v>4372000</v>
      </c>
      <c r="G672" s="112">
        <v>190628000</v>
      </c>
      <c r="H672" s="113">
        <v>100</v>
      </c>
    </row>
    <row r="673" spans="1:10" s="3" customFormat="1" ht="15.75" thickBot="1" x14ac:dyDescent="0.3">
      <c r="A673" s="111" t="s">
        <v>1608</v>
      </c>
      <c r="B673" s="112">
        <v>100000000</v>
      </c>
      <c r="C673" s="111" t="s">
        <v>49</v>
      </c>
      <c r="D673" s="111" t="s">
        <v>89</v>
      </c>
      <c r="E673" s="140">
        <v>98051000</v>
      </c>
      <c r="F673" s="112">
        <f t="shared" si="19"/>
        <v>1949000</v>
      </c>
      <c r="G673" s="81">
        <v>98051000</v>
      </c>
      <c r="H673" s="113">
        <v>100</v>
      </c>
    </row>
    <row r="674" spans="1:10" s="3" customFormat="1" ht="24.75" thickBot="1" x14ac:dyDescent="0.3">
      <c r="A674" s="111" t="s">
        <v>1609</v>
      </c>
      <c r="B674" s="112">
        <v>147000000</v>
      </c>
      <c r="C674" s="111" t="s">
        <v>49</v>
      </c>
      <c r="D674" s="111" t="s">
        <v>89</v>
      </c>
      <c r="E674" s="140">
        <v>144702000</v>
      </c>
      <c r="F674" s="112">
        <f t="shared" si="19"/>
        <v>2298000</v>
      </c>
      <c r="G674" s="140">
        <v>144702000</v>
      </c>
      <c r="H674" s="113">
        <v>0</v>
      </c>
    </row>
    <row r="675" spans="1:10" s="3" customFormat="1" ht="15.75" thickBot="1" x14ac:dyDescent="0.3">
      <c r="A675" s="111" t="s">
        <v>1610</v>
      </c>
      <c r="B675" s="112">
        <v>195000000</v>
      </c>
      <c r="C675" s="111" t="s">
        <v>49</v>
      </c>
      <c r="D675" s="111" t="s">
        <v>89</v>
      </c>
      <c r="E675" s="140">
        <v>190706000</v>
      </c>
      <c r="F675" s="112">
        <f t="shared" si="19"/>
        <v>4294000</v>
      </c>
      <c r="G675" s="140">
        <v>190706000</v>
      </c>
      <c r="H675" s="113">
        <v>100</v>
      </c>
    </row>
    <row r="676" spans="1:10" s="3" customFormat="1" ht="24.75" thickBot="1" x14ac:dyDescent="0.3">
      <c r="A676" s="111" t="s">
        <v>1611</v>
      </c>
      <c r="B676" s="112">
        <v>100000000</v>
      </c>
      <c r="C676" s="111" t="s">
        <v>49</v>
      </c>
      <c r="D676" s="111" t="s">
        <v>89</v>
      </c>
      <c r="E676" s="140">
        <v>97292000</v>
      </c>
      <c r="F676" s="112">
        <f t="shared" si="19"/>
        <v>2708000</v>
      </c>
      <c r="G676" s="140">
        <v>97292000</v>
      </c>
      <c r="H676" s="113">
        <v>100</v>
      </c>
    </row>
    <row r="677" spans="1:10" s="3" customFormat="1" ht="15.75" thickBot="1" x14ac:dyDescent="0.3">
      <c r="A677" s="111" t="s">
        <v>1612</v>
      </c>
      <c r="B677" s="112">
        <v>195000000</v>
      </c>
      <c r="C677" s="111" t="s">
        <v>49</v>
      </c>
      <c r="D677" s="111" t="s">
        <v>89</v>
      </c>
      <c r="E677" s="140">
        <v>192005000</v>
      </c>
      <c r="F677" s="112">
        <f t="shared" si="19"/>
        <v>2995000</v>
      </c>
      <c r="G677" s="140">
        <v>192005000</v>
      </c>
      <c r="H677" s="113">
        <v>100</v>
      </c>
    </row>
    <row r="678" spans="1:10" s="3" customFormat="1" ht="24.75" thickBot="1" x14ac:dyDescent="0.3">
      <c r="A678" s="111" t="s">
        <v>1613</v>
      </c>
      <c r="B678" s="112">
        <v>193000000</v>
      </c>
      <c r="C678" s="111" t="s">
        <v>49</v>
      </c>
      <c r="D678" s="111" t="s">
        <v>89</v>
      </c>
      <c r="E678" s="140">
        <v>189406000</v>
      </c>
      <c r="F678" s="112">
        <f t="shared" si="19"/>
        <v>3594000</v>
      </c>
      <c r="G678" s="140">
        <v>189406000</v>
      </c>
      <c r="H678" s="113">
        <v>100</v>
      </c>
    </row>
    <row r="679" spans="1:10" s="3" customFormat="1" ht="15.75" thickBot="1" x14ac:dyDescent="0.3">
      <c r="A679" s="111" t="s">
        <v>1614</v>
      </c>
      <c r="B679" s="112">
        <v>195000000</v>
      </c>
      <c r="C679" s="111" t="s">
        <v>49</v>
      </c>
      <c r="D679" s="111" t="s">
        <v>89</v>
      </c>
      <c r="E679" s="140">
        <v>191868000</v>
      </c>
      <c r="F679" s="112">
        <f t="shared" si="19"/>
        <v>3132000</v>
      </c>
      <c r="G679" s="140">
        <v>191868000</v>
      </c>
      <c r="H679" s="113">
        <v>100</v>
      </c>
    </row>
    <row r="680" spans="1:10" s="3" customFormat="1" ht="15.75" thickBot="1" x14ac:dyDescent="0.3">
      <c r="A680" s="111" t="s">
        <v>1615</v>
      </c>
      <c r="B680" s="112">
        <v>193000000</v>
      </c>
      <c r="C680" s="111" t="s">
        <v>49</v>
      </c>
      <c r="D680" s="111" t="s">
        <v>89</v>
      </c>
      <c r="E680" s="140">
        <v>190505000</v>
      </c>
      <c r="F680" s="112">
        <f t="shared" si="19"/>
        <v>2495000</v>
      </c>
      <c r="G680" s="140">
        <v>190505000</v>
      </c>
      <c r="H680" s="113">
        <v>100</v>
      </c>
    </row>
    <row r="681" spans="1:10" s="3" customFormat="1" ht="15.75" thickBot="1" x14ac:dyDescent="0.3">
      <c r="A681" s="111" t="s">
        <v>1616</v>
      </c>
      <c r="B681" s="112">
        <v>193000000</v>
      </c>
      <c r="C681" s="111" t="s">
        <v>49</v>
      </c>
      <c r="D681" s="111" t="s">
        <v>89</v>
      </c>
      <c r="E681" s="140">
        <v>189689000</v>
      </c>
      <c r="F681" s="112">
        <f t="shared" si="19"/>
        <v>3311000</v>
      </c>
      <c r="G681" s="140">
        <v>189689000</v>
      </c>
      <c r="H681" s="113">
        <v>100</v>
      </c>
    </row>
    <row r="682" spans="1:10" s="3" customFormat="1" ht="24.75" thickBot="1" x14ac:dyDescent="0.3">
      <c r="A682" s="111" t="s">
        <v>1617</v>
      </c>
      <c r="B682" s="112">
        <v>100000000</v>
      </c>
      <c r="C682" s="111" t="s">
        <v>49</v>
      </c>
      <c r="D682" s="111" t="s">
        <v>89</v>
      </c>
      <c r="E682" s="140">
        <v>98145000</v>
      </c>
      <c r="F682" s="112">
        <f t="shared" si="19"/>
        <v>1855000</v>
      </c>
      <c r="G682" s="140">
        <v>98145000</v>
      </c>
      <c r="H682" s="113">
        <v>100</v>
      </c>
    </row>
    <row r="683" spans="1:10" s="3" customFormat="1" ht="15.75" thickBot="1" x14ac:dyDescent="0.3">
      <c r="A683" s="111" t="s">
        <v>1618</v>
      </c>
      <c r="B683" s="112">
        <v>100000000</v>
      </c>
      <c r="C683" s="111" t="s">
        <v>49</v>
      </c>
      <c r="D683" s="111" t="s">
        <v>89</v>
      </c>
      <c r="E683" s="140">
        <v>99462000</v>
      </c>
      <c r="F683" s="112">
        <f t="shared" si="19"/>
        <v>538000</v>
      </c>
      <c r="G683" s="140">
        <v>99462000</v>
      </c>
      <c r="H683" s="113">
        <v>100</v>
      </c>
    </row>
    <row r="684" spans="1:10" s="3" customFormat="1" ht="24.75" thickBot="1" x14ac:dyDescent="0.3">
      <c r="A684" s="111" t="s">
        <v>1619</v>
      </c>
      <c r="B684" s="112">
        <v>100000000</v>
      </c>
      <c r="C684" s="111" t="s">
        <v>49</v>
      </c>
      <c r="D684" s="111" t="s">
        <v>89</v>
      </c>
      <c r="E684" s="140">
        <v>99015000</v>
      </c>
      <c r="F684" s="112">
        <f t="shared" si="19"/>
        <v>985000</v>
      </c>
      <c r="G684" s="140">
        <v>99015000</v>
      </c>
      <c r="H684" s="113">
        <v>100</v>
      </c>
    </row>
    <row r="685" spans="1:10" s="3" customFormat="1" ht="24.75" thickBot="1" x14ac:dyDescent="0.3">
      <c r="A685" s="111" t="s">
        <v>1620</v>
      </c>
      <c r="B685" s="112">
        <v>195000000</v>
      </c>
      <c r="C685" s="111" t="s">
        <v>49</v>
      </c>
      <c r="D685" s="111" t="s">
        <v>89</v>
      </c>
      <c r="E685" s="140">
        <v>194077000</v>
      </c>
      <c r="F685" s="112">
        <f t="shared" si="19"/>
        <v>923000</v>
      </c>
      <c r="G685" s="140">
        <v>194077000</v>
      </c>
      <c r="H685" s="113">
        <v>100</v>
      </c>
    </row>
    <row r="686" spans="1:10" ht="24.75" thickBot="1" x14ac:dyDescent="0.3">
      <c r="A686" s="106" t="s">
        <v>1621</v>
      </c>
      <c r="B686" s="107">
        <f>SUM(B687:B752)</f>
        <v>14897314000</v>
      </c>
      <c r="C686" s="108"/>
      <c r="D686" s="108"/>
      <c r="E686" s="109"/>
      <c r="F686" s="107">
        <f t="shared" si="19"/>
        <v>490151227</v>
      </c>
      <c r="G686" s="109">
        <f>SUM(G687:G752)</f>
        <v>14407162773</v>
      </c>
      <c r="H686" s="114">
        <f>AVERAGE(H687:H752)</f>
        <v>99.362514624998298</v>
      </c>
      <c r="I686" s="81">
        <f>11176889105-G686</f>
        <v>-3230273668</v>
      </c>
      <c r="J686" s="81">
        <f>G686-6429707605</f>
        <v>7977455168</v>
      </c>
    </row>
    <row r="687" spans="1:10" ht="12.75" thickBot="1" x14ac:dyDescent="0.3">
      <c r="A687" s="111" t="s">
        <v>1622</v>
      </c>
      <c r="B687" s="112">
        <v>2937600000</v>
      </c>
      <c r="C687" s="111" t="s">
        <v>49</v>
      </c>
      <c r="D687" s="111" t="s">
        <v>72</v>
      </c>
      <c r="E687" s="112">
        <v>20400000</v>
      </c>
      <c r="F687" s="112">
        <f t="shared" si="19"/>
        <v>0</v>
      </c>
      <c r="G687" s="112">
        <f>489600000+244800000+244800000+244800000+244800000+244800000+244800000+244800000+244800000+244800000+244800000</f>
        <v>2937600000</v>
      </c>
      <c r="H687" s="113">
        <f>G687/B687*100</f>
        <v>100</v>
      </c>
    </row>
    <row r="688" spans="1:10" ht="12.75" thickBot="1" x14ac:dyDescent="0.3">
      <c r="A688" s="111" t="s">
        <v>1623</v>
      </c>
      <c r="B688" s="112">
        <v>200000000</v>
      </c>
      <c r="C688" s="111" t="s">
        <v>49</v>
      </c>
      <c r="D688" s="111" t="s">
        <v>50</v>
      </c>
      <c r="E688" s="112">
        <v>196834000</v>
      </c>
      <c r="F688" s="112">
        <f t="shared" si="19"/>
        <v>3166000</v>
      </c>
      <c r="G688" s="112">
        <v>196834000</v>
      </c>
      <c r="H688" s="113">
        <v>100</v>
      </c>
    </row>
    <row r="689" spans="1:10" ht="12.75" thickBot="1" x14ac:dyDescent="0.3">
      <c r="A689" s="111" t="s">
        <v>1624</v>
      </c>
      <c r="B689" s="112">
        <v>110000000</v>
      </c>
      <c r="C689" s="111" t="s">
        <v>49</v>
      </c>
      <c r="D689" s="111" t="s">
        <v>50</v>
      </c>
      <c r="E689" s="112">
        <v>109000000</v>
      </c>
      <c r="F689" s="112">
        <f t="shared" si="19"/>
        <v>1000000</v>
      </c>
      <c r="G689" s="112">
        <v>109000000</v>
      </c>
      <c r="H689" s="113">
        <v>100</v>
      </c>
    </row>
    <row r="690" spans="1:10" ht="12.75" thickBot="1" x14ac:dyDescent="0.3">
      <c r="A690" s="111" t="s">
        <v>1625</v>
      </c>
      <c r="B690" s="112">
        <v>200000000</v>
      </c>
      <c r="C690" s="111" t="s">
        <v>49</v>
      </c>
      <c r="D690" s="111" t="s">
        <v>50</v>
      </c>
      <c r="E690" s="112">
        <v>197802000</v>
      </c>
      <c r="F690" s="112">
        <f t="shared" si="19"/>
        <v>2198000</v>
      </c>
      <c r="G690" s="112">
        <v>197802000</v>
      </c>
      <c r="H690" s="113">
        <v>100</v>
      </c>
    </row>
    <row r="691" spans="1:10" ht="12.75" thickBot="1" x14ac:dyDescent="0.3">
      <c r="A691" s="111" t="s">
        <v>1626</v>
      </c>
      <c r="B691" s="112">
        <v>200000000</v>
      </c>
      <c r="C691" s="111" t="s">
        <v>49</v>
      </c>
      <c r="D691" s="111" t="s">
        <v>50</v>
      </c>
      <c r="E691" s="112">
        <v>198900000</v>
      </c>
      <c r="F691" s="112">
        <f t="shared" si="19"/>
        <v>1100000</v>
      </c>
      <c r="G691" s="112">
        <v>198900000</v>
      </c>
      <c r="H691" s="113">
        <v>100</v>
      </c>
    </row>
    <row r="692" spans="1:10" ht="12.75" thickBot="1" x14ac:dyDescent="0.3">
      <c r="A692" s="111" t="s">
        <v>1627</v>
      </c>
      <c r="B692" s="112">
        <v>200000000</v>
      </c>
      <c r="C692" s="111" t="s">
        <v>49</v>
      </c>
      <c r="D692" s="111" t="s">
        <v>50</v>
      </c>
      <c r="E692" s="112">
        <v>199062000</v>
      </c>
      <c r="F692" s="112">
        <f t="shared" si="19"/>
        <v>938000</v>
      </c>
      <c r="G692" s="112">
        <v>199062000</v>
      </c>
      <c r="H692" s="113">
        <v>100</v>
      </c>
    </row>
    <row r="693" spans="1:10" ht="12.75" thickBot="1" x14ac:dyDescent="0.3">
      <c r="A693" s="111" t="s">
        <v>1628</v>
      </c>
      <c r="B693" s="112">
        <v>200000000</v>
      </c>
      <c r="C693" s="111" t="s">
        <v>49</v>
      </c>
      <c r="D693" s="111" t="s">
        <v>50</v>
      </c>
      <c r="E693" s="112">
        <v>199000000</v>
      </c>
      <c r="F693" s="112">
        <f t="shared" si="19"/>
        <v>1000000</v>
      </c>
      <c r="G693" s="112">
        <v>199000000</v>
      </c>
      <c r="H693" s="113">
        <v>100</v>
      </c>
    </row>
    <row r="694" spans="1:10" ht="12.75" thickBot="1" x14ac:dyDescent="0.3">
      <c r="A694" s="111" t="s">
        <v>1629</v>
      </c>
      <c r="B694" s="112">
        <v>200000000</v>
      </c>
      <c r="C694" s="111" t="s">
        <v>49</v>
      </c>
      <c r="D694" s="111" t="s">
        <v>50</v>
      </c>
      <c r="E694" s="112">
        <v>197013000</v>
      </c>
      <c r="F694" s="112">
        <f t="shared" si="19"/>
        <v>2987000</v>
      </c>
      <c r="G694" s="112">
        <v>197013000</v>
      </c>
      <c r="H694" s="113">
        <v>100</v>
      </c>
    </row>
    <row r="695" spans="1:10" ht="12.75" thickBot="1" x14ac:dyDescent="0.3">
      <c r="A695" s="111" t="s">
        <v>1630</v>
      </c>
      <c r="B695" s="112">
        <v>200000000</v>
      </c>
      <c r="C695" s="111" t="s">
        <v>49</v>
      </c>
      <c r="D695" s="111" t="s">
        <v>50</v>
      </c>
      <c r="E695" s="112">
        <v>197970000</v>
      </c>
      <c r="F695" s="112">
        <f t="shared" si="19"/>
        <v>2030000</v>
      </c>
      <c r="G695" s="112">
        <v>197970000</v>
      </c>
      <c r="H695" s="113">
        <v>100</v>
      </c>
    </row>
    <row r="696" spans="1:10" ht="12.75" thickBot="1" x14ac:dyDescent="0.3">
      <c r="A696" s="111" t="s">
        <v>1631</v>
      </c>
      <c r="B696" s="112">
        <v>200000000</v>
      </c>
      <c r="C696" s="111" t="s">
        <v>49</v>
      </c>
      <c r="D696" s="111" t="s">
        <v>50</v>
      </c>
      <c r="E696" s="112">
        <v>197350000</v>
      </c>
      <c r="F696" s="112">
        <f t="shared" si="19"/>
        <v>2650000</v>
      </c>
      <c r="G696" s="112">
        <v>197350000</v>
      </c>
      <c r="H696" s="113">
        <v>100</v>
      </c>
      <c r="I696" s="60"/>
      <c r="J696" s="60"/>
    </row>
    <row r="697" spans="1:10" ht="12.75" thickBot="1" x14ac:dyDescent="0.3">
      <c r="A697" s="111" t="s">
        <v>1632</v>
      </c>
      <c r="B697" s="112">
        <v>132392000</v>
      </c>
      <c r="C697" s="111" t="s">
        <v>49</v>
      </c>
      <c r="D697" s="111" t="s">
        <v>50</v>
      </c>
      <c r="E697" s="112">
        <v>130051818</v>
      </c>
      <c r="F697" s="112">
        <f t="shared" si="19"/>
        <v>2340182</v>
      </c>
      <c r="G697" s="112">
        <f>62049000+68002818</f>
        <v>130051818</v>
      </c>
      <c r="H697" s="113">
        <v>100</v>
      </c>
      <c r="I697" s="60"/>
      <c r="J697" s="60"/>
    </row>
    <row r="698" spans="1:10" ht="12.75" thickBot="1" x14ac:dyDescent="0.3">
      <c r="A698" s="111" t="s">
        <v>1633</v>
      </c>
      <c r="B698" s="112">
        <v>100000000</v>
      </c>
      <c r="C698" s="111" t="s">
        <v>49</v>
      </c>
      <c r="D698" s="111" t="s">
        <v>194</v>
      </c>
      <c r="E698" s="112">
        <v>99000000</v>
      </c>
      <c r="F698" s="112">
        <f t="shared" si="19"/>
        <v>1000000</v>
      </c>
      <c r="G698" s="112">
        <v>99000000</v>
      </c>
      <c r="H698" s="113">
        <v>100</v>
      </c>
      <c r="I698" s="60"/>
      <c r="J698" s="60"/>
    </row>
    <row r="699" spans="1:10" ht="36.75" thickBot="1" x14ac:dyDescent="0.3">
      <c r="A699" s="111" t="s">
        <v>1634</v>
      </c>
      <c r="B699" s="112">
        <v>100000000</v>
      </c>
      <c r="C699" s="111" t="s">
        <v>49</v>
      </c>
      <c r="D699" s="111" t="s">
        <v>194</v>
      </c>
      <c r="E699" s="135">
        <v>99141000</v>
      </c>
      <c r="F699" s="112">
        <f t="shared" si="19"/>
        <v>859000</v>
      </c>
      <c r="G699" s="135">
        <v>99141000</v>
      </c>
      <c r="H699" s="113">
        <v>100</v>
      </c>
      <c r="I699" s="60"/>
      <c r="J699" s="60"/>
    </row>
    <row r="700" spans="1:10" ht="36.75" thickBot="1" x14ac:dyDescent="0.3">
      <c r="A700" s="111" t="s">
        <v>1635</v>
      </c>
      <c r="B700" s="112">
        <v>100000000</v>
      </c>
      <c r="C700" s="111" t="s">
        <v>49</v>
      </c>
      <c r="D700" s="111" t="s">
        <v>194</v>
      </c>
      <c r="E700" s="135">
        <v>99321000</v>
      </c>
      <c r="F700" s="112">
        <f t="shared" si="19"/>
        <v>679000</v>
      </c>
      <c r="G700" s="135">
        <v>99321000</v>
      </c>
      <c r="H700" s="113">
        <v>100</v>
      </c>
      <c r="I700" s="60"/>
      <c r="J700" s="60"/>
    </row>
    <row r="701" spans="1:10" ht="36.75" thickBot="1" x14ac:dyDescent="0.3">
      <c r="A701" s="111" t="s">
        <v>1636</v>
      </c>
      <c r="B701" s="112">
        <v>100000000</v>
      </c>
      <c r="C701" s="111" t="s">
        <v>49</v>
      </c>
      <c r="D701" s="111" t="s">
        <v>194</v>
      </c>
      <c r="E701" s="135">
        <v>99344000</v>
      </c>
      <c r="F701" s="112">
        <f t="shared" si="19"/>
        <v>656000</v>
      </c>
      <c r="G701" s="135">
        <v>99344000</v>
      </c>
      <c r="H701" s="113">
        <v>100</v>
      </c>
      <c r="I701" s="60"/>
      <c r="J701" s="60"/>
    </row>
    <row r="702" spans="1:10" ht="36.75" thickBot="1" x14ac:dyDescent="0.3">
      <c r="A702" s="111" t="s">
        <v>1637</v>
      </c>
      <c r="B702" s="112">
        <v>100000000</v>
      </c>
      <c r="C702" s="111" t="s">
        <v>49</v>
      </c>
      <c r="D702" s="111" t="s">
        <v>194</v>
      </c>
      <c r="E702" s="135">
        <v>99368000</v>
      </c>
      <c r="F702" s="112">
        <f t="shared" si="19"/>
        <v>632000</v>
      </c>
      <c r="G702" s="135">
        <v>99368000</v>
      </c>
      <c r="H702" s="113">
        <v>100</v>
      </c>
      <c r="I702" s="60"/>
      <c r="J702" s="60"/>
    </row>
    <row r="703" spans="1:10" ht="36.75" thickBot="1" x14ac:dyDescent="0.3">
      <c r="A703" s="111" t="s">
        <v>1638</v>
      </c>
      <c r="B703" s="112">
        <v>100000000</v>
      </c>
      <c r="C703" s="111" t="s">
        <v>49</v>
      </c>
      <c r="D703" s="111" t="s">
        <v>194</v>
      </c>
      <c r="E703" s="135">
        <v>99299000</v>
      </c>
      <c r="F703" s="112">
        <f t="shared" si="19"/>
        <v>701000</v>
      </c>
      <c r="G703" s="135">
        <v>99299000</v>
      </c>
      <c r="H703" s="113">
        <v>100</v>
      </c>
      <c r="I703" s="60"/>
      <c r="J703" s="60"/>
    </row>
    <row r="704" spans="1:10" ht="36.75" thickBot="1" x14ac:dyDescent="0.3">
      <c r="A704" s="111" t="s">
        <v>1639</v>
      </c>
      <c r="B704" s="112">
        <v>100000000</v>
      </c>
      <c r="C704" s="111" t="s">
        <v>49</v>
      </c>
      <c r="D704" s="111" t="s">
        <v>194</v>
      </c>
      <c r="E704" s="135">
        <v>99354000</v>
      </c>
      <c r="F704" s="112">
        <f t="shared" si="19"/>
        <v>646000</v>
      </c>
      <c r="G704" s="135">
        <v>99354000</v>
      </c>
      <c r="H704" s="113">
        <v>100</v>
      </c>
      <c r="I704" s="60"/>
      <c r="J704" s="60"/>
    </row>
    <row r="705" spans="1:10" ht="24.75" thickBot="1" x14ac:dyDescent="0.3">
      <c r="A705" s="111" t="s">
        <v>1640</v>
      </c>
      <c r="B705" s="112">
        <v>200000000</v>
      </c>
      <c r="C705" s="111" t="s">
        <v>49</v>
      </c>
      <c r="D705" s="111" t="s">
        <v>89</v>
      </c>
      <c r="E705" s="112">
        <v>194454000</v>
      </c>
      <c r="F705" s="112">
        <f t="shared" si="19"/>
        <v>5546000</v>
      </c>
      <c r="G705" s="112">
        <v>194454000</v>
      </c>
      <c r="H705" s="113">
        <v>100</v>
      </c>
      <c r="I705" s="60"/>
      <c r="J705" s="60"/>
    </row>
    <row r="706" spans="1:10" ht="12.75" thickBot="1" x14ac:dyDescent="0.3">
      <c r="A706" s="111" t="s">
        <v>1641</v>
      </c>
      <c r="B706" s="112">
        <v>200000000</v>
      </c>
      <c r="C706" s="111" t="s">
        <v>49</v>
      </c>
      <c r="D706" s="111" t="s">
        <v>89</v>
      </c>
      <c r="E706" s="112">
        <v>194505000</v>
      </c>
      <c r="F706" s="112">
        <f t="shared" si="19"/>
        <v>5495000</v>
      </c>
      <c r="G706" s="112">
        <v>194505000</v>
      </c>
      <c r="H706" s="113">
        <v>100</v>
      </c>
      <c r="I706" s="60"/>
      <c r="J706" s="60"/>
    </row>
    <row r="707" spans="1:10" ht="12.75" thickBot="1" x14ac:dyDescent="0.3">
      <c r="A707" s="111" t="s">
        <v>1642</v>
      </c>
      <c r="B707" s="112">
        <v>200000000</v>
      </c>
      <c r="C707" s="111" t="s">
        <v>49</v>
      </c>
      <c r="D707" s="111" t="s">
        <v>89</v>
      </c>
      <c r="E707" s="112">
        <v>194894000</v>
      </c>
      <c r="F707" s="112">
        <f t="shared" si="19"/>
        <v>5106000</v>
      </c>
      <c r="G707" s="112">
        <v>194894000</v>
      </c>
      <c r="H707" s="113">
        <v>100</v>
      </c>
      <c r="I707" s="60"/>
      <c r="J707" s="60"/>
    </row>
    <row r="708" spans="1:10" ht="24.75" thickBot="1" x14ac:dyDescent="0.3">
      <c r="A708" s="111" t="s">
        <v>1643</v>
      </c>
      <c r="B708" s="112">
        <v>200000000</v>
      </c>
      <c r="C708" s="111" t="s">
        <v>49</v>
      </c>
      <c r="D708" s="111" t="s">
        <v>89</v>
      </c>
      <c r="E708" s="112">
        <v>194780000</v>
      </c>
      <c r="F708" s="112">
        <f t="shared" ref="F708:F771" si="20">B708-G708</f>
        <v>5220000</v>
      </c>
      <c r="G708" s="112">
        <v>194780000</v>
      </c>
      <c r="H708" s="113">
        <v>100</v>
      </c>
      <c r="I708" s="60"/>
      <c r="J708" s="60"/>
    </row>
    <row r="709" spans="1:10" ht="24.75" thickBot="1" x14ac:dyDescent="0.3">
      <c r="A709" s="111" t="s">
        <v>1644</v>
      </c>
      <c r="B709" s="112">
        <v>200000000</v>
      </c>
      <c r="C709" s="111" t="s">
        <v>49</v>
      </c>
      <c r="D709" s="111" t="s">
        <v>89</v>
      </c>
      <c r="E709" s="112">
        <v>194150000</v>
      </c>
      <c r="F709" s="112">
        <f t="shared" si="20"/>
        <v>5850000</v>
      </c>
      <c r="G709" s="112">
        <v>194150000</v>
      </c>
      <c r="H709" s="113">
        <v>100</v>
      </c>
      <c r="I709" s="60"/>
      <c r="J709" s="60"/>
    </row>
    <row r="710" spans="1:10" ht="12.75" thickBot="1" x14ac:dyDescent="0.3">
      <c r="A710" s="111" t="s">
        <v>1645</v>
      </c>
      <c r="B710" s="112">
        <v>200000000</v>
      </c>
      <c r="C710" s="111" t="s">
        <v>49</v>
      </c>
      <c r="D710" s="111" t="s">
        <v>89</v>
      </c>
      <c r="E710" s="112">
        <v>193588000</v>
      </c>
      <c r="F710" s="112">
        <f t="shared" si="20"/>
        <v>6412000</v>
      </c>
      <c r="G710" s="112">
        <v>193588000</v>
      </c>
      <c r="H710" s="113">
        <v>100</v>
      </c>
      <c r="I710" s="60"/>
      <c r="J710" s="60"/>
    </row>
    <row r="711" spans="1:10" ht="12.75" thickBot="1" x14ac:dyDescent="0.3">
      <c r="A711" s="111" t="s">
        <v>1646</v>
      </c>
      <c r="B711" s="112">
        <v>200000000</v>
      </c>
      <c r="C711" s="111" t="s">
        <v>49</v>
      </c>
      <c r="D711" s="111" t="s">
        <v>89</v>
      </c>
      <c r="E711" s="112">
        <v>194619000</v>
      </c>
      <c r="F711" s="112">
        <f t="shared" si="20"/>
        <v>5381000</v>
      </c>
      <c r="G711" s="112">
        <v>194619000</v>
      </c>
      <c r="H711" s="113">
        <v>100</v>
      </c>
      <c r="I711" s="60"/>
      <c r="J711" s="60"/>
    </row>
    <row r="712" spans="1:10" ht="12.75" thickBot="1" x14ac:dyDescent="0.3">
      <c r="A712" s="111" t="s">
        <v>1647</v>
      </c>
      <c r="B712" s="112">
        <v>200000000</v>
      </c>
      <c r="C712" s="111" t="s">
        <v>49</v>
      </c>
      <c r="D712" s="111" t="s">
        <v>89</v>
      </c>
      <c r="E712" s="112">
        <v>194619000</v>
      </c>
      <c r="F712" s="112">
        <f t="shared" si="20"/>
        <v>5381000</v>
      </c>
      <c r="G712" s="112">
        <v>194619000</v>
      </c>
      <c r="H712" s="113">
        <v>100</v>
      </c>
    </row>
    <row r="713" spans="1:10" ht="12.75" thickBot="1" x14ac:dyDescent="0.3">
      <c r="A713" s="111" t="s">
        <v>1648</v>
      </c>
      <c r="B713" s="112">
        <v>200000000</v>
      </c>
      <c r="C713" s="111" t="s">
        <v>49</v>
      </c>
      <c r="D713" s="111" t="s">
        <v>89</v>
      </c>
      <c r="E713" s="112">
        <v>194619000</v>
      </c>
      <c r="F713" s="112">
        <f t="shared" si="20"/>
        <v>5381000</v>
      </c>
      <c r="G713" s="112">
        <v>194619000</v>
      </c>
      <c r="H713" s="113">
        <v>100</v>
      </c>
    </row>
    <row r="714" spans="1:10" ht="12.75" thickBot="1" x14ac:dyDescent="0.3">
      <c r="A714" s="111" t="s">
        <v>1649</v>
      </c>
      <c r="B714" s="112">
        <v>200000000</v>
      </c>
      <c r="C714" s="111" t="s">
        <v>49</v>
      </c>
      <c r="D714" s="111" t="s">
        <v>89</v>
      </c>
      <c r="E714" s="112">
        <v>194756000</v>
      </c>
      <c r="F714" s="112">
        <f t="shared" si="20"/>
        <v>5244000</v>
      </c>
      <c r="G714" s="112">
        <v>194756000</v>
      </c>
      <c r="H714" s="113">
        <v>100</v>
      </c>
    </row>
    <row r="715" spans="1:10" ht="24.75" thickBot="1" x14ac:dyDescent="0.3">
      <c r="A715" s="111" t="s">
        <v>1650</v>
      </c>
      <c r="B715" s="112">
        <v>200000000</v>
      </c>
      <c r="C715" s="111" t="s">
        <v>49</v>
      </c>
      <c r="D715" s="111" t="s">
        <v>89</v>
      </c>
      <c r="E715" s="112">
        <v>197203000</v>
      </c>
      <c r="F715" s="112">
        <f t="shared" si="20"/>
        <v>2797000</v>
      </c>
      <c r="G715" s="112">
        <v>197203000</v>
      </c>
      <c r="H715" s="113">
        <v>100</v>
      </c>
    </row>
    <row r="716" spans="1:10" ht="24.75" thickBot="1" x14ac:dyDescent="0.3">
      <c r="A716" s="111" t="s">
        <v>1651</v>
      </c>
      <c r="B716" s="112">
        <v>200000000</v>
      </c>
      <c r="C716" s="111" t="s">
        <v>49</v>
      </c>
      <c r="D716" s="111" t="s">
        <v>89</v>
      </c>
      <c r="E716" s="112">
        <v>196222000</v>
      </c>
      <c r="F716" s="112">
        <f t="shared" si="20"/>
        <v>3778000</v>
      </c>
      <c r="G716" s="112">
        <v>196222000</v>
      </c>
      <c r="H716" s="113">
        <v>100</v>
      </c>
    </row>
    <row r="717" spans="1:10" ht="12.75" thickBot="1" x14ac:dyDescent="0.3">
      <c r="A717" s="111" t="s">
        <v>1652</v>
      </c>
      <c r="B717" s="112">
        <v>200000000</v>
      </c>
      <c r="C717" s="111" t="s">
        <v>49</v>
      </c>
      <c r="D717" s="111" t="s">
        <v>89</v>
      </c>
      <c r="E717" s="112">
        <v>194487000</v>
      </c>
      <c r="F717" s="112">
        <f t="shared" si="20"/>
        <v>5513000</v>
      </c>
      <c r="G717" s="112">
        <v>194487000</v>
      </c>
      <c r="H717" s="113">
        <v>100</v>
      </c>
    </row>
    <row r="718" spans="1:10" ht="12.75" thickBot="1" x14ac:dyDescent="0.3">
      <c r="A718" s="111" t="s">
        <v>1653</v>
      </c>
      <c r="B718" s="112">
        <v>200000000</v>
      </c>
      <c r="C718" s="111" t="s">
        <v>49</v>
      </c>
      <c r="D718" s="111" t="s">
        <v>89</v>
      </c>
      <c r="E718" s="112">
        <v>196634000</v>
      </c>
      <c r="F718" s="112">
        <f t="shared" si="20"/>
        <v>3366000</v>
      </c>
      <c r="G718" s="112">
        <v>196634000</v>
      </c>
      <c r="H718" s="113">
        <v>100</v>
      </c>
    </row>
    <row r="719" spans="1:10" ht="12.75" thickBot="1" x14ac:dyDescent="0.3">
      <c r="A719" s="111" t="s">
        <v>1654</v>
      </c>
      <c r="B719" s="112">
        <v>200000000</v>
      </c>
      <c r="C719" s="111" t="s">
        <v>49</v>
      </c>
      <c r="D719" s="111" t="s">
        <v>89</v>
      </c>
      <c r="E719" s="112">
        <v>195626000</v>
      </c>
      <c r="F719" s="112">
        <f t="shared" si="20"/>
        <v>4374000</v>
      </c>
      <c r="G719" s="112">
        <v>195626000</v>
      </c>
      <c r="H719" s="113">
        <v>100</v>
      </c>
    </row>
    <row r="720" spans="1:10" ht="12.75" thickBot="1" x14ac:dyDescent="0.3">
      <c r="A720" s="111" t="s">
        <v>1655</v>
      </c>
      <c r="B720" s="112">
        <v>200000000</v>
      </c>
      <c r="C720" s="111" t="s">
        <v>49</v>
      </c>
      <c r="D720" s="111" t="s">
        <v>89</v>
      </c>
      <c r="E720" s="112">
        <v>196940000</v>
      </c>
      <c r="F720" s="112">
        <f t="shared" si="20"/>
        <v>3060000</v>
      </c>
      <c r="G720" s="112">
        <v>196940000</v>
      </c>
      <c r="H720" s="113">
        <v>100</v>
      </c>
    </row>
    <row r="721" spans="1:8" ht="24.75" thickBot="1" x14ac:dyDescent="0.3">
      <c r="A721" s="111" t="s">
        <v>1656</v>
      </c>
      <c r="B721" s="112">
        <v>200000000</v>
      </c>
      <c r="C721" s="111" t="s">
        <v>49</v>
      </c>
      <c r="D721" s="111" t="s">
        <v>89</v>
      </c>
      <c r="E721" s="112">
        <v>195575000</v>
      </c>
      <c r="F721" s="112">
        <f t="shared" si="20"/>
        <v>4425000</v>
      </c>
      <c r="G721" s="112">
        <v>195575000</v>
      </c>
      <c r="H721" s="113">
        <v>100</v>
      </c>
    </row>
    <row r="722" spans="1:8" ht="24.75" thickBot="1" x14ac:dyDescent="0.3">
      <c r="A722" s="111" t="s">
        <v>1657</v>
      </c>
      <c r="B722" s="112">
        <v>200000000</v>
      </c>
      <c r="C722" s="111" t="s">
        <v>49</v>
      </c>
      <c r="D722" s="111" t="s">
        <v>89</v>
      </c>
      <c r="E722" s="112">
        <v>195549000</v>
      </c>
      <c r="F722" s="112">
        <f t="shared" si="20"/>
        <v>4451000</v>
      </c>
      <c r="G722" s="112">
        <v>195549000</v>
      </c>
      <c r="H722" s="113">
        <v>100</v>
      </c>
    </row>
    <row r="723" spans="1:8" ht="12.75" thickBot="1" x14ac:dyDescent="0.3">
      <c r="A723" s="111" t="s">
        <v>1658</v>
      </c>
      <c r="B723" s="112">
        <v>150000000</v>
      </c>
      <c r="C723" s="111" t="s">
        <v>49</v>
      </c>
      <c r="D723" s="111" t="s">
        <v>89</v>
      </c>
      <c r="E723" s="112">
        <v>146069000</v>
      </c>
      <c r="F723" s="112">
        <f t="shared" si="20"/>
        <v>3931000</v>
      </c>
      <c r="G723" s="112">
        <v>146069000</v>
      </c>
      <c r="H723" s="113">
        <v>100</v>
      </c>
    </row>
    <row r="724" spans="1:8" ht="24.75" thickBot="1" x14ac:dyDescent="0.3">
      <c r="A724" s="111" t="s">
        <v>1659</v>
      </c>
      <c r="B724" s="112">
        <v>150000000</v>
      </c>
      <c r="C724" s="111" t="s">
        <v>49</v>
      </c>
      <c r="D724" s="111" t="s">
        <v>89</v>
      </c>
      <c r="E724" s="112">
        <v>144968000</v>
      </c>
      <c r="F724" s="112">
        <f t="shared" si="20"/>
        <v>5032000</v>
      </c>
      <c r="G724" s="112">
        <v>144968000</v>
      </c>
      <c r="H724" s="113">
        <v>100</v>
      </c>
    </row>
    <row r="725" spans="1:8" ht="12.75" thickBot="1" x14ac:dyDescent="0.3">
      <c r="A725" s="111" t="s">
        <v>1660</v>
      </c>
      <c r="B725" s="112">
        <v>150000000</v>
      </c>
      <c r="C725" s="111" t="s">
        <v>49</v>
      </c>
      <c r="D725" s="111" t="s">
        <v>89</v>
      </c>
      <c r="E725" s="112">
        <v>96885000</v>
      </c>
      <c r="F725" s="112">
        <f t="shared" si="20"/>
        <v>53115000</v>
      </c>
      <c r="G725" s="112">
        <v>96885000</v>
      </c>
      <c r="H725" s="113">
        <v>100</v>
      </c>
    </row>
    <row r="726" spans="1:8" ht="12.75" thickBot="1" x14ac:dyDescent="0.3">
      <c r="A726" s="111" t="s">
        <v>1661</v>
      </c>
      <c r="B726" s="112">
        <v>100000000</v>
      </c>
      <c r="C726" s="111" t="s">
        <v>49</v>
      </c>
      <c r="D726" s="111" t="s">
        <v>89</v>
      </c>
      <c r="E726" s="112">
        <v>97299000</v>
      </c>
      <c r="F726" s="112">
        <f t="shared" si="20"/>
        <v>2701000</v>
      </c>
      <c r="G726" s="112">
        <v>97299000</v>
      </c>
      <c r="H726" s="113">
        <v>100</v>
      </c>
    </row>
    <row r="727" spans="1:8" ht="24.75" thickBot="1" x14ac:dyDescent="0.3">
      <c r="A727" s="111" t="s">
        <v>1662</v>
      </c>
      <c r="B727" s="112">
        <v>150000000</v>
      </c>
      <c r="C727" s="111" t="s">
        <v>49</v>
      </c>
      <c r="D727" s="111" t="s">
        <v>89</v>
      </c>
      <c r="E727" s="112">
        <v>147347000</v>
      </c>
      <c r="F727" s="112">
        <f t="shared" si="20"/>
        <v>2653000</v>
      </c>
      <c r="G727" s="112">
        <v>147347000</v>
      </c>
      <c r="H727" s="113">
        <v>100</v>
      </c>
    </row>
    <row r="728" spans="1:8" ht="12.75" thickBot="1" x14ac:dyDescent="0.3">
      <c r="A728" s="111" t="s">
        <v>1663</v>
      </c>
      <c r="B728" s="112">
        <v>150000000</v>
      </c>
      <c r="C728" s="111" t="s">
        <v>49</v>
      </c>
      <c r="D728" s="111" t="s">
        <v>89</v>
      </c>
      <c r="E728" s="112">
        <v>146828000</v>
      </c>
      <c r="F728" s="112">
        <f t="shared" si="20"/>
        <v>3172000</v>
      </c>
      <c r="G728" s="112">
        <v>146828000</v>
      </c>
      <c r="H728" s="113">
        <v>100</v>
      </c>
    </row>
    <row r="729" spans="1:8" ht="12.75" thickBot="1" x14ac:dyDescent="0.3">
      <c r="A729" s="111" t="s">
        <v>1664</v>
      </c>
      <c r="B729" s="112">
        <v>150000000</v>
      </c>
      <c r="C729" s="111" t="s">
        <v>49</v>
      </c>
      <c r="D729" s="111" t="s">
        <v>89</v>
      </c>
      <c r="E729" s="112">
        <v>147347000</v>
      </c>
      <c r="F729" s="112">
        <f t="shared" si="20"/>
        <v>2653000</v>
      </c>
      <c r="G729" s="112">
        <v>147347000</v>
      </c>
      <c r="H729" s="113">
        <v>100</v>
      </c>
    </row>
    <row r="730" spans="1:8" ht="12.75" thickBot="1" x14ac:dyDescent="0.3">
      <c r="A730" s="111" t="s">
        <v>1665</v>
      </c>
      <c r="B730" s="112">
        <v>150000000</v>
      </c>
      <c r="C730" s="111" t="s">
        <v>49</v>
      </c>
      <c r="D730" s="111" t="s">
        <v>89</v>
      </c>
      <c r="E730" s="112">
        <v>146545000</v>
      </c>
      <c r="F730" s="112">
        <f t="shared" si="20"/>
        <v>3455000</v>
      </c>
      <c r="G730" s="112">
        <v>146545000</v>
      </c>
      <c r="H730" s="113">
        <v>100</v>
      </c>
    </row>
    <row r="731" spans="1:8" ht="12.75" thickBot="1" x14ac:dyDescent="0.3">
      <c r="A731" s="111" t="s">
        <v>1666</v>
      </c>
      <c r="B731" s="112">
        <v>150000000</v>
      </c>
      <c r="C731" s="111" t="s">
        <v>49</v>
      </c>
      <c r="D731" s="111" t="s">
        <v>89</v>
      </c>
      <c r="E731" s="112">
        <v>146956000</v>
      </c>
      <c r="F731" s="112">
        <f t="shared" si="20"/>
        <v>3044000</v>
      </c>
      <c r="G731" s="112">
        <v>146956000</v>
      </c>
      <c r="H731" s="113">
        <v>100</v>
      </c>
    </row>
    <row r="732" spans="1:8" ht="12.75" thickBot="1" x14ac:dyDescent="0.3">
      <c r="A732" s="111" t="s">
        <v>1667</v>
      </c>
      <c r="B732" s="112">
        <v>150000000</v>
      </c>
      <c r="C732" s="111" t="s">
        <v>49</v>
      </c>
      <c r="D732" s="111" t="s">
        <v>89</v>
      </c>
      <c r="E732" s="112">
        <v>146404000</v>
      </c>
      <c r="F732" s="112">
        <f t="shared" si="20"/>
        <v>3596000</v>
      </c>
      <c r="G732" s="112">
        <v>146404000</v>
      </c>
      <c r="H732" s="113">
        <v>100</v>
      </c>
    </row>
    <row r="733" spans="1:8" ht="12.75" thickBot="1" x14ac:dyDescent="0.3">
      <c r="A733" s="111" t="s">
        <v>1668</v>
      </c>
      <c r="B733" s="112">
        <v>130000000</v>
      </c>
      <c r="C733" s="111" t="s">
        <v>49</v>
      </c>
      <c r="D733" s="111" t="s">
        <v>89</v>
      </c>
      <c r="E733" s="112">
        <v>125804000</v>
      </c>
      <c r="F733" s="112">
        <f t="shared" si="20"/>
        <v>4196000</v>
      </c>
      <c r="G733" s="112">
        <v>125804000</v>
      </c>
      <c r="H733" s="113">
        <v>100</v>
      </c>
    </row>
    <row r="734" spans="1:8" ht="24.75" thickBot="1" x14ac:dyDescent="0.3">
      <c r="A734" s="111" t="s">
        <v>1669</v>
      </c>
      <c r="B734" s="112">
        <v>200000000</v>
      </c>
      <c r="C734" s="111" t="s">
        <v>49</v>
      </c>
      <c r="D734" s="111" t="s">
        <v>89</v>
      </c>
      <c r="E734" s="112">
        <v>196321000</v>
      </c>
      <c r="F734" s="112">
        <f t="shared" si="20"/>
        <v>3679000</v>
      </c>
      <c r="G734" s="112">
        <v>196321000</v>
      </c>
      <c r="H734" s="113">
        <v>100</v>
      </c>
    </row>
    <row r="735" spans="1:8" ht="12.75" thickBot="1" x14ac:dyDescent="0.3">
      <c r="A735" s="111" t="s">
        <v>1670</v>
      </c>
      <c r="B735" s="112">
        <v>200000000</v>
      </c>
      <c r="C735" s="111" t="s">
        <v>49</v>
      </c>
      <c r="D735" s="111" t="s">
        <v>89</v>
      </c>
      <c r="E735" s="112">
        <v>194372000</v>
      </c>
      <c r="F735" s="112">
        <f t="shared" si="20"/>
        <v>5628000</v>
      </c>
      <c r="G735" s="112">
        <v>194372000</v>
      </c>
      <c r="H735" s="113">
        <v>100</v>
      </c>
    </row>
    <row r="736" spans="1:8" ht="12.75" thickBot="1" x14ac:dyDescent="0.3">
      <c r="A736" s="111" t="s">
        <v>1671</v>
      </c>
      <c r="B736" s="112">
        <v>200000000</v>
      </c>
      <c r="C736" s="111" t="s">
        <v>49</v>
      </c>
      <c r="D736" s="111" t="s">
        <v>89</v>
      </c>
      <c r="E736" s="112">
        <v>194249000</v>
      </c>
      <c r="F736" s="112">
        <f t="shared" si="20"/>
        <v>5751000</v>
      </c>
      <c r="G736" s="112">
        <v>194249000</v>
      </c>
      <c r="H736" s="113">
        <v>100</v>
      </c>
    </row>
    <row r="737" spans="1:9" ht="12.75" thickBot="1" x14ac:dyDescent="0.3">
      <c r="A737" s="111" t="s">
        <v>1672</v>
      </c>
      <c r="B737" s="112">
        <v>200000000</v>
      </c>
      <c r="C737" s="111" t="s">
        <v>49</v>
      </c>
      <c r="D737" s="111" t="s">
        <v>89</v>
      </c>
      <c r="E737" s="112">
        <v>195006000</v>
      </c>
      <c r="F737" s="112">
        <f t="shared" si="20"/>
        <v>4994000</v>
      </c>
      <c r="G737" s="112">
        <v>195006000</v>
      </c>
      <c r="H737" s="113">
        <v>100</v>
      </c>
    </row>
    <row r="738" spans="1:9" ht="12.75" thickBot="1" x14ac:dyDescent="0.3">
      <c r="A738" s="111" t="s">
        <v>1673</v>
      </c>
      <c r="B738" s="112">
        <v>200000000</v>
      </c>
      <c r="C738" s="111" t="s">
        <v>49</v>
      </c>
      <c r="D738" s="111" t="s">
        <v>89</v>
      </c>
      <c r="E738" s="112">
        <v>193300000</v>
      </c>
      <c r="F738" s="112">
        <f t="shared" si="20"/>
        <v>6700000</v>
      </c>
      <c r="G738" s="112">
        <v>193300000</v>
      </c>
      <c r="H738" s="113">
        <v>100</v>
      </c>
    </row>
    <row r="739" spans="1:9" ht="12.75" thickBot="1" x14ac:dyDescent="0.3">
      <c r="A739" s="111" t="s">
        <v>1674</v>
      </c>
      <c r="B739" s="112">
        <v>150000000</v>
      </c>
      <c r="C739" s="111" t="s">
        <v>49</v>
      </c>
      <c r="D739" s="111" t="s">
        <v>89</v>
      </c>
      <c r="E739" s="112">
        <v>148239000</v>
      </c>
      <c r="F739" s="112">
        <f t="shared" si="20"/>
        <v>1761000</v>
      </c>
      <c r="G739" s="112">
        <v>148239000</v>
      </c>
      <c r="H739" s="113">
        <v>100</v>
      </c>
    </row>
    <row r="740" spans="1:9" ht="12.75" thickBot="1" x14ac:dyDescent="0.3">
      <c r="A740" s="111" t="s">
        <v>1675</v>
      </c>
      <c r="B740" s="112">
        <v>150000000</v>
      </c>
      <c r="C740" s="111" t="s">
        <v>49</v>
      </c>
      <c r="D740" s="111" t="s">
        <v>89</v>
      </c>
      <c r="E740" s="112">
        <v>145744000</v>
      </c>
      <c r="F740" s="112">
        <f t="shared" si="20"/>
        <v>4256000</v>
      </c>
      <c r="G740" s="112">
        <v>145744000</v>
      </c>
      <c r="H740" s="113">
        <v>100</v>
      </c>
    </row>
    <row r="741" spans="1:9" ht="12.75" thickBot="1" x14ac:dyDescent="0.3">
      <c r="A741" s="111" t="s">
        <v>1676</v>
      </c>
      <c r="B741" s="112">
        <v>150000000</v>
      </c>
      <c r="C741" s="111" t="s">
        <v>49</v>
      </c>
      <c r="D741" s="111" t="s">
        <v>89</v>
      </c>
      <c r="E741" s="112">
        <v>146303000</v>
      </c>
      <c r="F741" s="112">
        <f t="shared" si="20"/>
        <v>3697000</v>
      </c>
      <c r="G741" s="112">
        <v>146303000</v>
      </c>
      <c r="H741" s="113">
        <v>100</v>
      </c>
    </row>
    <row r="742" spans="1:9" ht="24.75" thickBot="1" x14ac:dyDescent="0.3">
      <c r="A742" s="111" t="s">
        <v>1677</v>
      </c>
      <c r="B742" s="112">
        <v>150000000</v>
      </c>
      <c r="C742" s="111" t="s">
        <v>49</v>
      </c>
      <c r="D742" s="111" t="s">
        <v>89</v>
      </c>
      <c r="E742" s="112">
        <v>147176000</v>
      </c>
      <c r="F742" s="112">
        <f t="shared" si="20"/>
        <v>2824000</v>
      </c>
      <c r="G742" s="112">
        <v>147176000</v>
      </c>
      <c r="H742" s="113">
        <v>100</v>
      </c>
    </row>
    <row r="743" spans="1:9" ht="12.75" thickBot="1" x14ac:dyDescent="0.3">
      <c r="A743" s="111" t="s">
        <v>1678</v>
      </c>
      <c r="B743" s="112">
        <v>250000000</v>
      </c>
      <c r="C743" s="111" t="s">
        <v>49</v>
      </c>
      <c r="D743" s="111" t="s">
        <v>89</v>
      </c>
      <c r="E743" s="112">
        <v>246320000</v>
      </c>
      <c r="F743" s="112">
        <f t="shared" si="20"/>
        <v>3680000</v>
      </c>
      <c r="G743" s="112">
        <v>246320000</v>
      </c>
      <c r="H743" s="113">
        <v>100</v>
      </c>
    </row>
    <row r="744" spans="1:9" ht="12.75" thickBot="1" x14ac:dyDescent="0.3">
      <c r="A744" s="111" t="s">
        <v>1679</v>
      </c>
      <c r="B744" s="112">
        <v>250000000</v>
      </c>
      <c r="C744" s="111" t="s">
        <v>49</v>
      </c>
      <c r="D744" s="111" t="s">
        <v>89</v>
      </c>
      <c r="E744" s="112">
        <v>246920000</v>
      </c>
      <c r="F744" s="112">
        <f t="shared" si="20"/>
        <v>3080000</v>
      </c>
      <c r="G744" s="112">
        <v>246920000</v>
      </c>
      <c r="H744" s="113">
        <v>100</v>
      </c>
    </row>
    <row r="745" spans="1:9" ht="12.75" thickBot="1" x14ac:dyDescent="0.3">
      <c r="A745" s="111" t="s">
        <v>1680</v>
      </c>
      <c r="B745" s="112">
        <v>250000000</v>
      </c>
      <c r="C745" s="111" t="s">
        <v>49</v>
      </c>
      <c r="D745" s="111" t="s">
        <v>89</v>
      </c>
      <c r="E745" s="112">
        <v>246920000</v>
      </c>
      <c r="F745" s="112">
        <f t="shared" si="20"/>
        <v>3080000</v>
      </c>
      <c r="G745" s="112">
        <v>246920000</v>
      </c>
      <c r="H745" s="113">
        <v>100</v>
      </c>
    </row>
    <row r="746" spans="1:9" ht="12.75" thickBot="1" x14ac:dyDescent="0.3">
      <c r="A746" s="111" t="s">
        <v>1681</v>
      </c>
      <c r="B746" s="112">
        <v>250000000</v>
      </c>
      <c r="C746" s="111" t="s">
        <v>49</v>
      </c>
      <c r="D746" s="111" t="s">
        <v>89</v>
      </c>
      <c r="E746" s="112">
        <v>247520000</v>
      </c>
      <c r="F746" s="112">
        <f t="shared" si="20"/>
        <v>2480000</v>
      </c>
      <c r="G746" s="112">
        <v>247520000</v>
      </c>
      <c r="H746" s="113">
        <v>100</v>
      </c>
    </row>
    <row r="747" spans="1:9" ht="24.75" thickBot="1" x14ac:dyDescent="0.3">
      <c r="A747" s="111" t="s">
        <v>1682</v>
      </c>
      <c r="B747" s="112">
        <v>250000000</v>
      </c>
      <c r="C747" s="111" t="s">
        <v>49</v>
      </c>
      <c r="D747" s="111" t="s">
        <v>89</v>
      </c>
      <c r="E747" s="112">
        <v>245740000</v>
      </c>
      <c r="F747" s="112">
        <f t="shared" si="20"/>
        <v>4260000</v>
      </c>
      <c r="G747" s="112">
        <v>245740000</v>
      </c>
      <c r="H747" s="113">
        <v>100</v>
      </c>
    </row>
    <row r="748" spans="1:9" ht="24.75" thickBot="1" x14ac:dyDescent="0.3">
      <c r="A748" s="111" t="s">
        <v>1683</v>
      </c>
      <c r="B748" s="112">
        <v>250000000</v>
      </c>
      <c r="C748" s="111" t="s">
        <v>49</v>
      </c>
      <c r="D748" s="111" t="s">
        <v>89</v>
      </c>
      <c r="E748" s="112">
        <v>246140000</v>
      </c>
      <c r="F748" s="112">
        <f t="shared" si="20"/>
        <v>3860000</v>
      </c>
      <c r="G748" s="112">
        <v>246140000</v>
      </c>
      <c r="H748" s="113">
        <v>100</v>
      </c>
    </row>
    <row r="749" spans="1:9" ht="12.75" thickBot="1" x14ac:dyDescent="0.3">
      <c r="A749" s="111" t="s">
        <v>1684</v>
      </c>
      <c r="B749" s="112">
        <f>611372000-74050000</f>
        <v>537322000</v>
      </c>
      <c r="C749" s="111" t="s">
        <v>19</v>
      </c>
      <c r="D749" s="111" t="s">
        <v>19</v>
      </c>
      <c r="E749" s="112">
        <v>0</v>
      </c>
      <c r="F749" s="112">
        <f t="shared" si="20"/>
        <v>226073045</v>
      </c>
      <c r="G749" s="81">
        <v>311248955</v>
      </c>
      <c r="H749" s="113">
        <f>G749/B749*100</f>
        <v>57.925965249887398</v>
      </c>
      <c r="I749" s="81">
        <f>G749-31224463</f>
        <v>280024492</v>
      </c>
    </row>
    <row r="750" spans="1:9" ht="12.75" thickBot="1" x14ac:dyDescent="0.3">
      <c r="A750" s="111" t="s">
        <v>1685</v>
      </c>
      <c r="B750" s="112">
        <v>200000000</v>
      </c>
      <c r="C750" s="111" t="s">
        <v>49</v>
      </c>
      <c r="D750" s="111" t="s">
        <v>89</v>
      </c>
      <c r="E750" s="112">
        <v>197636000</v>
      </c>
      <c r="F750" s="112">
        <f t="shared" si="20"/>
        <v>2364000</v>
      </c>
      <c r="G750" s="112">
        <v>197636000</v>
      </c>
      <c r="H750" s="113">
        <v>100</v>
      </c>
    </row>
    <row r="751" spans="1:9" ht="12.75" thickBot="1" x14ac:dyDescent="0.3">
      <c r="A751" s="111" t="s">
        <v>1686</v>
      </c>
      <c r="B751" s="112">
        <v>200000000</v>
      </c>
      <c r="C751" s="111" t="s">
        <v>49</v>
      </c>
      <c r="D751" s="111" t="s">
        <v>89</v>
      </c>
      <c r="E751" s="112">
        <v>198351000</v>
      </c>
      <c r="F751" s="112">
        <f t="shared" si="20"/>
        <v>1649000</v>
      </c>
      <c r="G751" s="112">
        <v>198351000</v>
      </c>
      <c r="H751" s="113">
        <v>100</v>
      </c>
    </row>
    <row r="752" spans="1:9" ht="12.75" thickBot="1" x14ac:dyDescent="0.3">
      <c r="A752" s="111" t="s">
        <v>1687</v>
      </c>
      <c r="B752" s="112">
        <v>200000000</v>
      </c>
      <c r="C752" s="111" t="s">
        <v>49</v>
      </c>
      <c r="D752" s="111" t="s">
        <v>89</v>
      </c>
      <c r="E752" s="112">
        <v>198575000</v>
      </c>
      <c r="F752" s="112">
        <f t="shared" si="20"/>
        <v>1425000</v>
      </c>
      <c r="G752" s="112">
        <v>198575000</v>
      </c>
      <c r="H752" s="113">
        <v>100</v>
      </c>
    </row>
    <row r="753" spans="1:10" ht="24.75" thickBot="1" x14ac:dyDescent="0.3">
      <c r="A753" s="106" t="s">
        <v>1688</v>
      </c>
      <c r="B753" s="107">
        <f>SUM(B754:B762)</f>
        <v>4861090000</v>
      </c>
      <c r="C753" s="108"/>
      <c r="D753" s="108"/>
      <c r="E753" s="109"/>
      <c r="F753" s="107">
        <f t="shared" si="20"/>
        <v>124667300</v>
      </c>
      <c r="G753" s="109">
        <f>SUM(G754:G762)+61149500</f>
        <v>4736422700</v>
      </c>
      <c r="H753" s="114">
        <f>AVERAGE(H761:H762,H754:H759)</f>
        <v>99.56005343245441</v>
      </c>
      <c r="I753" s="81">
        <f>71430000-G753</f>
        <v>-4664992700</v>
      </c>
    </row>
    <row r="754" spans="1:10" ht="12.75" thickBot="1" x14ac:dyDescent="0.3">
      <c r="A754" s="111" t="s">
        <v>1689</v>
      </c>
      <c r="B754" s="112">
        <v>2800000000</v>
      </c>
      <c r="C754" s="111" t="s">
        <v>49</v>
      </c>
      <c r="D754" s="111" t="s">
        <v>89</v>
      </c>
      <c r="E754" s="112">
        <v>2794333200</v>
      </c>
      <c r="F754" s="112">
        <f t="shared" si="20"/>
        <v>5666800</v>
      </c>
      <c r="G754" s="112">
        <f>838299960+1956033240</f>
        <v>2794333200</v>
      </c>
      <c r="H754" s="113">
        <v>100</v>
      </c>
    </row>
    <row r="755" spans="1:10" ht="24.75" thickBot="1" x14ac:dyDescent="0.3">
      <c r="A755" s="111" t="s">
        <v>1690</v>
      </c>
      <c r="B755" s="112">
        <v>50000000</v>
      </c>
      <c r="C755" s="111" t="s">
        <v>49</v>
      </c>
      <c r="D755" s="111" t="s">
        <v>194</v>
      </c>
      <c r="E755" s="112">
        <v>48200000</v>
      </c>
      <c r="F755" s="112">
        <f t="shared" si="20"/>
        <v>1800000</v>
      </c>
      <c r="G755" s="112">
        <v>48200000</v>
      </c>
      <c r="H755" s="113">
        <v>100</v>
      </c>
    </row>
    <row r="756" spans="1:10" ht="24.75" thickBot="1" x14ac:dyDescent="0.3">
      <c r="A756" s="111" t="s">
        <v>1691</v>
      </c>
      <c r="B756" s="112">
        <v>60000000</v>
      </c>
      <c r="C756" s="111" t="s">
        <v>49</v>
      </c>
      <c r="D756" s="111" t="s">
        <v>194</v>
      </c>
      <c r="E756" s="112">
        <v>58735000</v>
      </c>
      <c r="F756" s="112">
        <f t="shared" si="20"/>
        <v>1265000</v>
      </c>
      <c r="G756" s="112">
        <v>58735000</v>
      </c>
      <c r="H756" s="113">
        <v>100</v>
      </c>
    </row>
    <row r="757" spans="1:10" ht="24.75" thickBot="1" x14ac:dyDescent="0.3">
      <c r="A757" s="111" t="s">
        <v>1692</v>
      </c>
      <c r="B757" s="112">
        <v>200000000</v>
      </c>
      <c r="C757" s="111" t="s">
        <v>49</v>
      </c>
      <c r="D757" s="111" t="s">
        <v>89</v>
      </c>
      <c r="E757" s="112">
        <v>194442000</v>
      </c>
      <c r="F757" s="112">
        <f t="shared" si="20"/>
        <v>5558000</v>
      </c>
      <c r="G757" s="112">
        <v>194442000</v>
      </c>
      <c r="H757" s="113">
        <v>100</v>
      </c>
    </row>
    <row r="758" spans="1:10" ht="12.75" thickBot="1" x14ac:dyDescent="0.3">
      <c r="A758" s="111" t="s">
        <v>1693</v>
      </c>
      <c r="B758" s="112">
        <f>90000000-3910000</f>
        <v>86090000</v>
      </c>
      <c r="C758" s="111" t="s">
        <v>19</v>
      </c>
      <c r="D758" s="111" t="s">
        <v>19</v>
      </c>
      <c r="E758" s="112">
        <v>0</v>
      </c>
      <c r="F758" s="112">
        <f t="shared" si="20"/>
        <v>3030000</v>
      </c>
      <c r="G758" s="112">
        <f>15130000+8100000+29970000+21775000+8085000</f>
        <v>83060000</v>
      </c>
      <c r="H758" s="113">
        <f>G758/B758*100</f>
        <v>96.480427459635266</v>
      </c>
    </row>
    <row r="759" spans="1:10" ht="24.75" thickBot="1" x14ac:dyDescent="0.3">
      <c r="A759" s="111" t="s">
        <v>1694</v>
      </c>
      <c r="B759" s="112">
        <v>320000000</v>
      </c>
      <c r="C759" s="111" t="s">
        <v>49</v>
      </c>
      <c r="D759" s="111" t="s">
        <v>89</v>
      </c>
      <c r="E759" s="112">
        <v>300700000</v>
      </c>
      <c r="F759" s="112">
        <f t="shared" si="20"/>
        <v>19300000</v>
      </c>
      <c r="G759" s="112">
        <v>300700000</v>
      </c>
      <c r="H759" s="113">
        <v>100</v>
      </c>
      <c r="I759" s="60"/>
      <c r="J759" s="60"/>
    </row>
    <row r="760" spans="1:10" ht="24.75" thickBot="1" x14ac:dyDescent="0.3">
      <c r="A760" s="111" t="s">
        <v>1695</v>
      </c>
      <c r="B760" s="112">
        <v>30000000</v>
      </c>
      <c r="C760" s="111" t="s">
        <v>130</v>
      </c>
      <c r="D760" s="111" t="s">
        <v>130</v>
      </c>
      <c r="E760" s="112">
        <v>0</v>
      </c>
      <c r="F760" s="112">
        <f t="shared" si="20"/>
        <v>11415000</v>
      </c>
      <c r="G760" s="112">
        <v>18585000</v>
      </c>
      <c r="H760" s="113">
        <f>G760/B760*100</f>
        <v>61.95</v>
      </c>
      <c r="I760" s="60"/>
      <c r="J760" s="60"/>
    </row>
    <row r="761" spans="1:10" ht="48.75" thickBot="1" x14ac:dyDescent="0.3">
      <c r="A761" s="111" t="s">
        <v>1696</v>
      </c>
      <c r="B761" s="112">
        <v>1120000000</v>
      </c>
      <c r="C761" s="111" t="s">
        <v>49</v>
      </c>
      <c r="D761" s="111" t="s">
        <v>89</v>
      </c>
      <c r="E761" s="112">
        <v>949851000</v>
      </c>
      <c r="F761" s="112">
        <f t="shared" si="20"/>
        <v>133816000</v>
      </c>
      <c r="G761" s="112">
        <f>949851000+36333000</f>
        <v>986184000</v>
      </c>
      <c r="H761" s="113">
        <v>100</v>
      </c>
      <c r="I761" s="60"/>
      <c r="J761" s="60"/>
    </row>
    <row r="762" spans="1:10" ht="24.75" thickBot="1" x14ac:dyDescent="0.3">
      <c r="A762" s="111" t="s">
        <v>1697</v>
      </c>
      <c r="B762" s="112">
        <v>195000000</v>
      </c>
      <c r="C762" s="111" t="s">
        <v>49</v>
      </c>
      <c r="D762" s="111" t="s">
        <v>89</v>
      </c>
      <c r="E762" s="112">
        <v>191034000</v>
      </c>
      <c r="F762" s="112">
        <f t="shared" si="20"/>
        <v>3966000</v>
      </c>
      <c r="G762" s="112">
        <v>191034000</v>
      </c>
      <c r="H762" s="113">
        <v>100</v>
      </c>
      <c r="I762" s="60"/>
      <c r="J762" s="60"/>
    </row>
    <row r="763" spans="1:10" ht="24.75" thickBot="1" x14ac:dyDescent="0.3">
      <c r="A763" s="106" t="s">
        <v>1698</v>
      </c>
      <c r="B763" s="107">
        <f>SUM(B764:B767)</f>
        <v>730000000</v>
      </c>
      <c r="C763" s="108"/>
      <c r="D763" s="108"/>
      <c r="E763" s="109"/>
      <c r="F763" s="107">
        <f t="shared" si="20"/>
        <v>14970000</v>
      </c>
      <c r="G763" s="109">
        <f>SUM(G764:G767)</f>
        <v>715030000</v>
      </c>
      <c r="H763" s="114">
        <f>AVERAGE(H764:H767)</f>
        <v>100</v>
      </c>
    </row>
    <row r="764" spans="1:10" ht="12.75" thickBot="1" x14ac:dyDescent="0.3">
      <c r="A764" s="111" t="s">
        <v>1699</v>
      </c>
      <c r="B764" s="112">
        <v>200000000</v>
      </c>
      <c r="C764" s="111" t="s">
        <v>49</v>
      </c>
      <c r="D764" s="111" t="s">
        <v>89</v>
      </c>
      <c r="E764" s="112">
        <v>195257000</v>
      </c>
      <c r="F764" s="112">
        <f t="shared" si="20"/>
        <v>4743000</v>
      </c>
      <c r="G764" s="112">
        <v>195257000</v>
      </c>
      <c r="H764" s="113">
        <v>100</v>
      </c>
    </row>
    <row r="765" spans="1:10" ht="24.75" thickBot="1" x14ac:dyDescent="0.3">
      <c r="A765" s="111" t="s">
        <v>1700</v>
      </c>
      <c r="B765" s="112">
        <v>200000000</v>
      </c>
      <c r="C765" s="111" t="s">
        <v>49</v>
      </c>
      <c r="D765" s="111" t="s">
        <v>89</v>
      </c>
      <c r="E765" s="112">
        <v>196229000</v>
      </c>
      <c r="F765" s="112">
        <f t="shared" si="20"/>
        <v>3771000</v>
      </c>
      <c r="G765" s="112">
        <v>196229000</v>
      </c>
      <c r="H765" s="113">
        <v>100</v>
      </c>
    </row>
    <row r="766" spans="1:10" ht="24.75" thickBot="1" x14ac:dyDescent="0.3">
      <c r="A766" s="111" t="s">
        <v>1701</v>
      </c>
      <c r="B766" s="112">
        <v>200000000</v>
      </c>
      <c r="C766" s="111" t="s">
        <v>49</v>
      </c>
      <c r="D766" s="111" t="s">
        <v>89</v>
      </c>
      <c r="E766" s="112">
        <v>195851000</v>
      </c>
      <c r="F766" s="112">
        <f t="shared" si="20"/>
        <v>4149000</v>
      </c>
      <c r="G766" s="112">
        <v>195851000</v>
      </c>
      <c r="H766" s="113">
        <v>100</v>
      </c>
    </row>
    <row r="767" spans="1:10" ht="24.75" thickBot="1" x14ac:dyDescent="0.3">
      <c r="A767" s="111" t="s">
        <v>1702</v>
      </c>
      <c r="B767" s="112">
        <v>130000000</v>
      </c>
      <c r="C767" s="111" t="s">
        <v>49</v>
      </c>
      <c r="D767" s="111" t="s">
        <v>89</v>
      </c>
      <c r="E767" s="112">
        <v>127693000</v>
      </c>
      <c r="F767" s="112">
        <f t="shared" si="20"/>
        <v>2307000</v>
      </c>
      <c r="G767" s="112">
        <v>127693000</v>
      </c>
      <c r="H767" s="113">
        <v>100</v>
      </c>
    </row>
    <row r="768" spans="1:10" ht="24.75" thickBot="1" x14ac:dyDescent="0.3">
      <c r="A768" s="106" t="s">
        <v>1703</v>
      </c>
      <c r="B768" s="107">
        <f>SUM(B769:B781)</f>
        <v>1962305000</v>
      </c>
      <c r="C768" s="108"/>
      <c r="D768" s="108"/>
      <c r="E768" s="109"/>
      <c r="F768" s="107">
        <f t="shared" si="20"/>
        <v>46011570</v>
      </c>
      <c r="G768" s="109">
        <f>SUM(G769:G781)</f>
        <v>1916293430</v>
      </c>
      <c r="H768" s="114">
        <f>AVERAGE(H769:H781)</f>
        <v>98.861459049923127</v>
      </c>
      <c r="I768" s="81">
        <f>1962305000-1879000000</f>
        <v>83305000</v>
      </c>
    </row>
    <row r="769" spans="1:10" ht="24.75" thickBot="1" x14ac:dyDescent="0.3">
      <c r="A769" s="111" t="s">
        <v>1704</v>
      </c>
      <c r="B769" s="112">
        <v>147000000</v>
      </c>
      <c r="C769" s="111" t="s">
        <v>49</v>
      </c>
      <c r="D769" s="111" t="s">
        <v>89</v>
      </c>
      <c r="E769" s="112">
        <v>146536530</v>
      </c>
      <c r="F769" s="112">
        <f t="shared" si="20"/>
        <v>463470</v>
      </c>
      <c r="G769" s="112">
        <v>146536530</v>
      </c>
      <c r="H769" s="113">
        <v>100</v>
      </c>
      <c r="I769" s="60"/>
      <c r="J769" s="60"/>
    </row>
    <row r="770" spans="1:10" ht="12.75" thickBot="1" x14ac:dyDescent="0.3">
      <c r="A770" s="111" t="s">
        <v>1705</v>
      </c>
      <c r="B770" s="112">
        <v>147000000</v>
      </c>
      <c r="C770" s="111" t="s">
        <v>49</v>
      </c>
      <c r="D770" s="111" t="s">
        <v>89</v>
      </c>
      <c r="E770" s="112">
        <v>146759000</v>
      </c>
      <c r="F770" s="112">
        <f t="shared" si="20"/>
        <v>241000</v>
      </c>
      <c r="G770" s="112">
        <v>146759000</v>
      </c>
      <c r="H770" s="113">
        <v>100</v>
      </c>
      <c r="I770" s="60"/>
      <c r="J770" s="60"/>
    </row>
    <row r="771" spans="1:10" ht="12.75" thickBot="1" x14ac:dyDescent="0.3">
      <c r="A771" s="111" t="s">
        <v>1706</v>
      </c>
      <c r="B771" s="112">
        <v>145000000</v>
      </c>
      <c r="C771" s="111" t="s">
        <v>49</v>
      </c>
      <c r="D771" s="111" t="s">
        <v>89</v>
      </c>
      <c r="E771" s="112">
        <v>141981000</v>
      </c>
      <c r="F771" s="112">
        <f t="shared" si="20"/>
        <v>3019000</v>
      </c>
      <c r="G771" s="112">
        <v>141981000</v>
      </c>
      <c r="H771" s="113">
        <v>100</v>
      </c>
      <c r="I771" s="60"/>
      <c r="J771" s="60"/>
    </row>
    <row r="772" spans="1:10" ht="24.75" thickBot="1" x14ac:dyDescent="0.3">
      <c r="A772" s="111" t="s">
        <v>1707</v>
      </c>
      <c r="B772" s="112">
        <v>148000000</v>
      </c>
      <c r="C772" s="111" t="s">
        <v>49</v>
      </c>
      <c r="D772" s="111" t="s">
        <v>89</v>
      </c>
      <c r="E772" s="112">
        <v>147040000</v>
      </c>
      <c r="F772" s="112">
        <f t="shared" ref="F772:F789" si="21">B772-G772</f>
        <v>960000</v>
      </c>
      <c r="G772" s="112">
        <v>147040000</v>
      </c>
      <c r="H772" s="113">
        <v>100</v>
      </c>
      <c r="I772" s="60"/>
      <c r="J772" s="60"/>
    </row>
    <row r="773" spans="1:10" ht="24.75" thickBot="1" x14ac:dyDescent="0.3">
      <c r="A773" s="111" t="s">
        <v>1708</v>
      </c>
      <c r="B773" s="112">
        <v>147000000</v>
      </c>
      <c r="C773" s="111" t="s">
        <v>49</v>
      </c>
      <c r="D773" s="111" t="s">
        <v>89</v>
      </c>
      <c r="E773" s="112">
        <v>144727000</v>
      </c>
      <c r="F773" s="112">
        <f t="shared" si="21"/>
        <v>2273000</v>
      </c>
      <c r="G773" s="112">
        <v>144727000</v>
      </c>
      <c r="H773" s="113">
        <v>100</v>
      </c>
      <c r="I773" s="60"/>
      <c r="J773" s="60"/>
    </row>
    <row r="774" spans="1:10" ht="12.75" thickBot="1" x14ac:dyDescent="0.3">
      <c r="A774" s="111" t="s">
        <v>1709</v>
      </c>
      <c r="B774" s="112">
        <v>150000000</v>
      </c>
      <c r="C774" s="111" t="s">
        <v>49</v>
      </c>
      <c r="D774" s="111" t="s">
        <v>89</v>
      </c>
      <c r="E774" s="112">
        <v>146032000</v>
      </c>
      <c r="F774" s="112">
        <f t="shared" si="21"/>
        <v>3968000</v>
      </c>
      <c r="G774" s="112">
        <v>146032000</v>
      </c>
      <c r="H774" s="113">
        <v>100</v>
      </c>
      <c r="I774" s="60"/>
      <c r="J774" s="60"/>
    </row>
    <row r="775" spans="1:10" ht="12.75" thickBot="1" x14ac:dyDescent="0.3">
      <c r="A775" s="111" t="s">
        <v>1710</v>
      </c>
      <c r="B775" s="112">
        <v>150000000</v>
      </c>
      <c r="C775" s="111" t="s">
        <v>49</v>
      </c>
      <c r="D775" s="111" t="s">
        <v>89</v>
      </c>
      <c r="E775" s="112">
        <v>145262900</v>
      </c>
      <c r="F775" s="112">
        <f t="shared" si="21"/>
        <v>4737100</v>
      </c>
      <c r="G775" s="112">
        <v>145262900</v>
      </c>
      <c r="H775" s="113">
        <v>100</v>
      </c>
      <c r="I775" s="60"/>
      <c r="J775" s="60"/>
    </row>
    <row r="776" spans="1:10" ht="12.75" thickBot="1" x14ac:dyDescent="0.3">
      <c r="A776" s="111" t="s">
        <v>1711</v>
      </c>
      <c r="B776" s="112">
        <v>150000000</v>
      </c>
      <c r="C776" s="111" t="s">
        <v>49</v>
      </c>
      <c r="D776" s="111" t="s">
        <v>89</v>
      </c>
      <c r="E776" s="112">
        <v>145055000</v>
      </c>
      <c r="F776" s="112">
        <f t="shared" si="21"/>
        <v>4945000</v>
      </c>
      <c r="G776" s="112">
        <v>145055000</v>
      </c>
      <c r="H776" s="113">
        <v>100</v>
      </c>
      <c r="I776" s="60"/>
      <c r="J776" s="60"/>
    </row>
    <row r="777" spans="1:10" ht="12.75" thickBot="1" x14ac:dyDescent="0.3">
      <c r="A777" s="111" t="s">
        <v>1712</v>
      </c>
      <c r="B777" s="116">
        <v>195000000</v>
      </c>
      <c r="C777" s="111" t="s">
        <v>49</v>
      </c>
      <c r="D777" s="111" t="s">
        <v>89</v>
      </c>
      <c r="E777" s="112">
        <v>193590800</v>
      </c>
      <c r="F777" s="112">
        <f t="shared" si="21"/>
        <v>1409200</v>
      </c>
      <c r="G777" s="112">
        <v>193590800</v>
      </c>
      <c r="H777" s="113">
        <v>100</v>
      </c>
      <c r="I777" s="60"/>
      <c r="J777" s="60"/>
    </row>
    <row r="778" spans="1:10" ht="12.75" thickBot="1" x14ac:dyDescent="0.3">
      <c r="A778" s="111" t="s">
        <v>1713</v>
      </c>
      <c r="B778" s="112">
        <v>150000000</v>
      </c>
      <c r="C778" s="111" t="s">
        <v>49</v>
      </c>
      <c r="D778" s="111" t="s">
        <v>89</v>
      </c>
      <c r="E778" s="112">
        <v>145641000</v>
      </c>
      <c r="F778" s="112">
        <f t="shared" si="21"/>
        <v>4359000</v>
      </c>
      <c r="G778" s="112">
        <v>145641000</v>
      </c>
      <c r="H778" s="113">
        <v>100</v>
      </c>
      <c r="I778" s="60"/>
      <c r="J778" s="60"/>
    </row>
    <row r="779" spans="1:10" ht="12.75" thickBot="1" x14ac:dyDescent="0.3">
      <c r="A779" s="111" t="s">
        <v>1714</v>
      </c>
      <c r="B779" s="112">
        <v>150000000</v>
      </c>
      <c r="C779" s="111" t="s">
        <v>49</v>
      </c>
      <c r="D779" s="111" t="s">
        <v>89</v>
      </c>
      <c r="E779" s="112">
        <v>146058000</v>
      </c>
      <c r="F779" s="112">
        <f t="shared" si="21"/>
        <v>3942000</v>
      </c>
      <c r="G779" s="112">
        <v>146058000</v>
      </c>
      <c r="H779" s="113">
        <v>100</v>
      </c>
      <c r="I779" s="60"/>
      <c r="J779" s="60"/>
    </row>
    <row r="780" spans="1:10" ht="24.75" thickBot="1" x14ac:dyDescent="0.3">
      <c r="A780" s="111" t="s">
        <v>1715</v>
      </c>
      <c r="B780" s="116">
        <v>200000000</v>
      </c>
      <c r="C780" s="111" t="s">
        <v>49</v>
      </c>
      <c r="D780" s="111" t="s">
        <v>89</v>
      </c>
      <c r="E780" s="112">
        <v>196635200</v>
      </c>
      <c r="F780" s="112">
        <f t="shared" si="21"/>
        <v>3364800</v>
      </c>
      <c r="G780" s="112">
        <v>196635200</v>
      </c>
      <c r="H780" s="113">
        <v>100</v>
      </c>
      <c r="I780" s="60"/>
      <c r="J780" s="60"/>
    </row>
    <row r="781" spans="1:10" ht="12.75" thickBot="1" x14ac:dyDescent="0.3">
      <c r="A781" s="111" t="s">
        <v>846</v>
      </c>
      <c r="B781" s="112">
        <v>83305000</v>
      </c>
      <c r="C781" s="111" t="s">
        <v>130</v>
      </c>
      <c r="D781" s="111" t="s">
        <v>130</v>
      </c>
      <c r="E781" s="112">
        <v>0</v>
      </c>
      <c r="F781" s="112">
        <f t="shared" si="21"/>
        <v>12330000</v>
      </c>
      <c r="G781" s="112">
        <f>14950000+19965000+13150000+22400000+510000</f>
        <v>70975000</v>
      </c>
      <c r="H781" s="113">
        <f t="shared" ref="H781:H791" si="22">G781/B781*100</f>
        <v>85.19896764900065</v>
      </c>
      <c r="I781" s="60"/>
      <c r="J781" s="60"/>
    </row>
    <row r="782" spans="1:10" ht="24.75" customHeight="1" thickBot="1" x14ac:dyDescent="0.3">
      <c r="A782" s="97" t="s">
        <v>933</v>
      </c>
      <c r="B782" s="98">
        <f>SUM(B783,B788,B800)</f>
        <v>896589600</v>
      </c>
      <c r="C782" s="97"/>
      <c r="D782" s="97"/>
      <c r="E782" s="99">
        <f>SUM(E783,E788,E800)</f>
        <v>0</v>
      </c>
      <c r="F782" s="98">
        <f t="shared" si="21"/>
        <v>19639045</v>
      </c>
      <c r="G782" s="98">
        <f>SUM(G783,G788,G800)</f>
        <v>876950555</v>
      </c>
      <c r="H782" s="100">
        <f t="shared" si="22"/>
        <v>97.809583671280592</v>
      </c>
    </row>
    <row r="783" spans="1:10" ht="12.75" thickBot="1" x14ac:dyDescent="0.3">
      <c r="A783" s="101" t="s">
        <v>935</v>
      </c>
      <c r="B783" s="102">
        <v>278690000</v>
      </c>
      <c r="C783" s="103"/>
      <c r="D783" s="103"/>
      <c r="E783" s="104"/>
      <c r="F783" s="102">
        <f t="shared" si="21"/>
        <v>1918670</v>
      </c>
      <c r="G783" s="102">
        <f>SUM(G784,G786)</f>
        <v>276771330</v>
      </c>
      <c r="H783" s="125">
        <f t="shared" si="22"/>
        <v>99.311539703613334</v>
      </c>
    </row>
    <row r="784" spans="1:10" ht="24.75" thickBot="1" x14ac:dyDescent="0.3">
      <c r="A784" s="106" t="s">
        <v>1716</v>
      </c>
      <c r="B784" s="107">
        <v>220000000</v>
      </c>
      <c r="C784" s="108"/>
      <c r="D784" s="108"/>
      <c r="E784" s="109"/>
      <c r="F784" s="107">
        <f t="shared" si="21"/>
        <v>1599920</v>
      </c>
      <c r="G784" s="109">
        <f>SUM(G785)</f>
        <v>218400080</v>
      </c>
      <c r="H784" s="114">
        <f t="shared" si="22"/>
        <v>99.272763636363635</v>
      </c>
    </row>
    <row r="785" spans="1:10" ht="12.75" thickBot="1" x14ac:dyDescent="0.3">
      <c r="A785" s="111" t="s">
        <v>1717</v>
      </c>
      <c r="B785" s="112">
        <v>220000000</v>
      </c>
      <c r="C785" s="111" t="s">
        <v>19</v>
      </c>
      <c r="D785" s="111" t="s">
        <v>19</v>
      </c>
      <c r="E785" s="112">
        <v>0</v>
      </c>
      <c r="F785" s="112">
        <f t="shared" si="21"/>
        <v>1599920</v>
      </c>
      <c r="G785" s="112">
        <v>218400080</v>
      </c>
      <c r="H785" s="113">
        <f t="shared" si="22"/>
        <v>99.272763636363635</v>
      </c>
    </row>
    <row r="786" spans="1:10" ht="36.75" thickBot="1" x14ac:dyDescent="0.3">
      <c r="A786" s="106" t="s">
        <v>1718</v>
      </c>
      <c r="B786" s="107">
        <v>58690000</v>
      </c>
      <c r="C786" s="108"/>
      <c r="D786" s="108"/>
      <c r="E786" s="109"/>
      <c r="F786" s="107">
        <f t="shared" si="21"/>
        <v>318750</v>
      </c>
      <c r="G786" s="109">
        <f>SUM(G787)</f>
        <v>58371250</v>
      </c>
      <c r="H786" s="114">
        <f t="shared" si="22"/>
        <v>99.456892145169533</v>
      </c>
    </row>
    <row r="787" spans="1:10" ht="12.75" thickBot="1" x14ac:dyDescent="0.3">
      <c r="A787" s="111" t="s">
        <v>1717</v>
      </c>
      <c r="B787" s="112">
        <v>58690000</v>
      </c>
      <c r="C787" s="111" t="s">
        <v>19</v>
      </c>
      <c r="D787" s="111" t="s">
        <v>19</v>
      </c>
      <c r="E787" s="112">
        <v>0</v>
      </c>
      <c r="F787" s="112">
        <f t="shared" si="21"/>
        <v>318750</v>
      </c>
      <c r="G787" s="112">
        <v>58371250</v>
      </c>
      <c r="H787" s="113">
        <f t="shared" si="22"/>
        <v>99.456892145169533</v>
      </c>
    </row>
    <row r="788" spans="1:10" ht="24.75" thickBot="1" x14ac:dyDescent="0.3">
      <c r="A788" s="101" t="s">
        <v>945</v>
      </c>
      <c r="B788" s="102">
        <f>SUM(B789,B792)</f>
        <v>442399600</v>
      </c>
      <c r="C788" s="103"/>
      <c r="D788" s="103"/>
      <c r="E788" s="104"/>
      <c r="F788" s="102">
        <f t="shared" si="21"/>
        <v>5468996</v>
      </c>
      <c r="G788" s="102">
        <f>SUM(G789,G792)</f>
        <v>436930604</v>
      </c>
      <c r="H788" s="125">
        <f t="shared" si="22"/>
        <v>98.763788213190068</v>
      </c>
    </row>
    <row r="789" spans="1:10" ht="36.75" thickBot="1" x14ac:dyDescent="0.3">
      <c r="A789" s="106" t="s">
        <v>1719</v>
      </c>
      <c r="B789" s="107">
        <v>25000000</v>
      </c>
      <c r="C789" s="108"/>
      <c r="D789" s="108"/>
      <c r="E789" s="109"/>
      <c r="F789" s="107">
        <f t="shared" si="21"/>
        <v>859824</v>
      </c>
      <c r="G789" s="109">
        <f>SUM(G790:G791)</f>
        <v>24140176</v>
      </c>
      <c r="H789" s="114">
        <f t="shared" si="22"/>
        <v>96.560704000000001</v>
      </c>
    </row>
    <row r="790" spans="1:10" s="50" customFormat="1" ht="15.75" thickBot="1" x14ac:dyDescent="0.3">
      <c r="A790" s="136" t="s">
        <v>1717</v>
      </c>
      <c r="B790" s="129">
        <v>7264400</v>
      </c>
      <c r="C790" s="136" t="s">
        <v>19</v>
      </c>
      <c r="D790" s="136" t="s">
        <v>19</v>
      </c>
      <c r="E790" s="141">
        <v>0</v>
      </c>
      <c r="F790" s="129">
        <v>749224</v>
      </c>
      <c r="G790" s="129">
        <v>6516176</v>
      </c>
      <c r="H790" s="113">
        <f t="shared" si="22"/>
        <v>89.700126645008538</v>
      </c>
    </row>
    <row r="791" spans="1:10" s="50" customFormat="1" ht="15.75" thickBot="1" x14ac:dyDescent="0.3">
      <c r="A791" s="136" t="s">
        <v>1720</v>
      </c>
      <c r="B791" s="129">
        <v>17735600</v>
      </c>
      <c r="C791" s="136" t="s">
        <v>19</v>
      </c>
      <c r="D791" s="136" t="s">
        <v>194</v>
      </c>
      <c r="E791" s="129">
        <v>17624000</v>
      </c>
      <c r="F791" s="129">
        <v>17735600</v>
      </c>
      <c r="G791" s="129">
        <v>17624000</v>
      </c>
      <c r="H791" s="113">
        <f t="shared" si="22"/>
        <v>99.370757121270216</v>
      </c>
    </row>
    <row r="792" spans="1:10" ht="36.75" thickBot="1" x14ac:dyDescent="0.3">
      <c r="A792" s="106" t="s">
        <v>1721</v>
      </c>
      <c r="B792" s="107">
        <f>SUM(B793:B799)</f>
        <v>417399600</v>
      </c>
      <c r="C792" s="108"/>
      <c r="D792" s="108"/>
      <c r="E792" s="109"/>
      <c r="F792" s="107">
        <f t="shared" ref="F792:F822" si="23">B792-G792</f>
        <v>4609172</v>
      </c>
      <c r="G792" s="109">
        <f>SUM(G793:G799)</f>
        <v>412790428</v>
      </c>
      <c r="H792" s="114">
        <f>AVERAGE(H793:H799)</f>
        <v>99.967936837874802</v>
      </c>
      <c r="J792" s="81">
        <f>132429595-G792</f>
        <v>-280360833</v>
      </c>
    </row>
    <row r="793" spans="1:10" ht="12.75" thickBot="1" x14ac:dyDescent="0.3">
      <c r="A793" s="111" t="s">
        <v>1717</v>
      </c>
      <c r="B793" s="112">
        <f>118294800-3410400</f>
        <v>114884400</v>
      </c>
      <c r="C793" s="111" t="s">
        <v>19</v>
      </c>
      <c r="D793" s="111" t="s">
        <v>19</v>
      </c>
      <c r="E793" s="112">
        <v>0</v>
      </c>
      <c r="F793" s="112">
        <f t="shared" si="23"/>
        <v>257849</v>
      </c>
      <c r="G793" s="81">
        <v>114626551</v>
      </c>
      <c r="H793" s="113">
        <f>G793/B793*100</f>
        <v>99.77555786512356</v>
      </c>
    </row>
    <row r="794" spans="1:10" ht="12.75" thickBot="1" x14ac:dyDescent="0.3">
      <c r="A794" s="111" t="s">
        <v>1722</v>
      </c>
      <c r="B794" s="112">
        <v>50419200</v>
      </c>
      <c r="C794" s="111" t="s">
        <v>49</v>
      </c>
      <c r="D794" s="111" t="s">
        <v>194</v>
      </c>
      <c r="E794" s="112">
        <v>49604790</v>
      </c>
      <c r="F794" s="112">
        <f t="shared" si="23"/>
        <v>814410</v>
      </c>
      <c r="G794" s="112">
        <v>49604790</v>
      </c>
      <c r="H794" s="113">
        <v>100</v>
      </c>
    </row>
    <row r="795" spans="1:10" ht="24.75" thickBot="1" x14ac:dyDescent="0.3">
      <c r="A795" s="111" t="s">
        <v>1723</v>
      </c>
      <c r="B795" s="112">
        <v>50419200</v>
      </c>
      <c r="C795" s="111" t="s">
        <v>49</v>
      </c>
      <c r="D795" s="111" t="s">
        <v>194</v>
      </c>
      <c r="E795" s="112">
        <v>49622550</v>
      </c>
      <c r="F795" s="112">
        <f t="shared" si="23"/>
        <v>796650</v>
      </c>
      <c r="G795" s="112">
        <v>49622550</v>
      </c>
      <c r="H795" s="113">
        <v>100</v>
      </c>
    </row>
    <row r="796" spans="1:10" ht="24.75" thickBot="1" x14ac:dyDescent="0.3">
      <c r="A796" s="111" t="s">
        <v>1724</v>
      </c>
      <c r="B796" s="112">
        <v>50419200</v>
      </c>
      <c r="C796" s="111" t="s">
        <v>49</v>
      </c>
      <c r="D796" s="111" t="s">
        <v>194</v>
      </c>
      <c r="E796" s="112">
        <v>49734000</v>
      </c>
      <c r="F796" s="112">
        <f t="shared" si="23"/>
        <v>685200</v>
      </c>
      <c r="G796" s="112">
        <v>49734000</v>
      </c>
      <c r="H796" s="113">
        <v>100</v>
      </c>
    </row>
    <row r="797" spans="1:10" ht="12.75" thickBot="1" x14ac:dyDescent="0.3">
      <c r="A797" s="111" t="s">
        <v>1725</v>
      </c>
      <c r="B797" s="112">
        <v>50419200</v>
      </c>
      <c r="C797" s="111" t="s">
        <v>49</v>
      </c>
      <c r="D797" s="111" t="s">
        <v>194</v>
      </c>
      <c r="E797" s="142">
        <v>49734327</v>
      </c>
      <c r="F797" s="112">
        <f t="shared" si="23"/>
        <v>684873</v>
      </c>
      <c r="G797" s="142">
        <v>49734327</v>
      </c>
      <c r="H797" s="113">
        <v>100</v>
      </c>
    </row>
    <row r="798" spans="1:10" ht="24.75" thickBot="1" x14ac:dyDescent="0.3">
      <c r="A798" s="111" t="s">
        <v>1726</v>
      </c>
      <c r="B798" s="112">
        <v>50419200</v>
      </c>
      <c r="C798" s="111" t="s">
        <v>49</v>
      </c>
      <c r="D798" s="111" t="s">
        <v>194</v>
      </c>
      <c r="E798" s="142">
        <v>49734105</v>
      </c>
      <c r="F798" s="112">
        <f t="shared" si="23"/>
        <v>685095</v>
      </c>
      <c r="G798" s="142">
        <v>49734105</v>
      </c>
      <c r="H798" s="113">
        <v>100</v>
      </c>
      <c r="I798" s="60"/>
      <c r="J798" s="60"/>
    </row>
    <row r="799" spans="1:10" ht="24.75" thickBot="1" x14ac:dyDescent="0.3">
      <c r="A799" s="111" t="s">
        <v>1727</v>
      </c>
      <c r="B799" s="112">
        <v>50419200</v>
      </c>
      <c r="C799" s="111" t="s">
        <v>49</v>
      </c>
      <c r="D799" s="111" t="s">
        <v>194</v>
      </c>
      <c r="E799" s="142">
        <v>49734105</v>
      </c>
      <c r="F799" s="112">
        <f t="shared" si="23"/>
        <v>685095</v>
      </c>
      <c r="G799" s="142">
        <v>49734105</v>
      </c>
      <c r="H799" s="113">
        <v>100</v>
      </c>
      <c r="I799" s="60"/>
      <c r="J799" s="60"/>
    </row>
    <row r="800" spans="1:10" ht="24.75" thickBot="1" x14ac:dyDescent="0.3">
      <c r="A800" s="101" t="s">
        <v>957</v>
      </c>
      <c r="B800" s="102">
        <v>175500000</v>
      </c>
      <c r="C800" s="103"/>
      <c r="D800" s="103"/>
      <c r="E800" s="104"/>
      <c r="F800" s="102">
        <f t="shared" si="23"/>
        <v>12251379</v>
      </c>
      <c r="G800" s="102">
        <f>SUM(G801,G804)</f>
        <v>163248621</v>
      </c>
      <c r="H800" s="125">
        <f t="shared" ref="H800:H807" si="24">G800/B800*100</f>
        <v>93.019157264957258</v>
      </c>
      <c r="I800" s="60"/>
      <c r="J800" s="60"/>
    </row>
    <row r="801" spans="1:10" ht="48.75" thickBot="1" x14ac:dyDescent="0.3">
      <c r="A801" s="106" t="s">
        <v>1728</v>
      </c>
      <c r="B801" s="107">
        <v>141000000</v>
      </c>
      <c r="C801" s="108"/>
      <c r="D801" s="108"/>
      <c r="E801" s="109"/>
      <c r="F801" s="107">
        <f t="shared" si="23"/>
        <v>12192500</v>
      </c>
      <c r="G801" s="109">
        <f>SUM(G802:G803)</f>
        <v>128807500</v>
      </c>
      <c r="H801" s="114">
        <f t="shared" si="24"/>
        <v>91.352836879432616</v>
      </c>
      <c r="I801" s="60"/>
      <c r="J801" s="60"/>
    </row>
    <row r="802" spans="1:10" ht="12.75" thickBot="1" x14ac:dyDescent="0.3">
      <c r="A802" s="111" t="s">
        <v>1717</v>
      </c>
      <c r="B802" s="112">
        <v>18600000</v>
      </c>
      <c r="C802" s="111" t="s">
        <v>19</v>
      </c>
      <c r="D802" s="111" t="s">
        <v>72</v>
      </c>
      <c r="E802" s="112">
        <v>0</v>
      </c>
      <c r="F802" s="112">
        <f t="shared" si="23"/>
        <v>12192500</v>
      </c>
      <c r="G802" s="112">
        <v>6407500</v>
      </c>
      <c r="H802" s="113">
        <f t="shared" si="24"/>
        <v>34.448924731182792</v>
      </c>
      <c r="I802" s="60"/>
      <c r="J802" s="60"/>
    </row>
    <row r="803" spans="1:10" ht="12.75" thickBot="1" x14ac:dyDescent="0.3">
      <c r="A803" s="111" t="s">
        <v>437</v>
      </c>
      <c r="B803" s="112">
        <v>122400000</v>
      </c>
      <c r="C803" s="111" t="s">
        <v>49</v>
      </c>
      <c r="D803" s="111" t="s">
        <v>72</v>
      </c>
      <c r="E803" s="112">
        <v>122400000</v>
      </c>
      <c r="F803" s="112">
        <f t="shared" si="23"/>
        <v>0</v>
      </c>
      <c r="G803" s="112">
        <f>20400000+10200000+10200000+10200000+10200000+10200000+10200000+10200000+10200000+10200000+10200000</f>
        <v>122400000</v>
      </c>
      <c r="H803" s="113">
        <f t="shared" si="24"/>
        <v>100</v>
      </c>
      <c r="I803" s="60"/>
      <c r="J803" s="60"/>
    </row>
    <row r="804" spans="1:10" ht="48.75" thickBot="1" x14ac:dyDescent="0.3">
      <c r="A804" s="106" t="s">
        <v>1729</v>
      </c>
      <c r="B804" s="107">
        <v>34500000</v>
      </c>
      <c r="C804" s="108"/>
      <c r="D804" s="108"/>
      <c r="E804" s="109"/>
      <c r="F804" s="107">
        <f t="shared" si="23"/>
        <v>58879</v>
      </c>
      <c r="G804" s="109">
        <f>SUM(G805)</f>
        <v>34441121</v>
      </c>
      <c r="H804" s="114">
        <f t="shared" si="24"/>
        <v>99.829336231884056</v>
      </c>
      <c r="I804" s="60"/>
      <c r="J804" s="60"/>
    </row>
    <row r="805" spans="1:10" ht="12.75" thickBot="1" x14ac:dyDescent="0.3">
      <c r="A805" s="111" t="s">
        <v>1717</v>
      </c>
      <c r="B805" s="112">
        <v>34500000</v>
      </c>
      <c r="C805" s="111" t="s">
        <v>19</v>
      </c>
      <c r="D805" s="111" t="s">
        <v>19</v>
      </c>
      <c r="E805" s="112">
        <v>0</v>
      </c>
      <c r="F805" s="112">
        <f t="shared" si="23"/>
        <v>58879</v>
      </c>
      <c r="G805" s="112">
        <v>34441121</v>
      </c>
      <c r="H805" s="113">
        <f t="shared" si="24"/>
        <v>99.829336231884056</v>
      </c>
      <c r="I805" s="60"/>
      <c r="J805" s="60"/>
    </row>
    <row r="806" spans="1:10" ht="25.5" customHeight="1" thickBot="1" x14ac:dyDescent="0.3">
      <c r="A806" s="97" t="s">
        <v>964</v>
      </c>
      <c r="B806" s="98">
        <f>SUM(B807,B814,B818)</f>
        <v>758530000</v>
      </c>
      <c r="C806" s="97"/>
      <c r="D806" s="97"/>
      <c r="E806" s="99">
        <f>SUM(E807,E814,E818)</f>
        <v>0</v>
      </c>
      <c r="F806" s="98">
        <f t="shared" si="23"/>
        <v>39328181</v>
      </c>
      <c r="G806" s="98">
        <f>SUM(G807,G814,G818)</f>
        <v>719201819</v>
      </c>
      <c r="H806" s="100">
        <f t="shared" si="24"/>
        <v>94.815210868390182</v>
      </c>
      <c r="I806" s="60"/>
      <c r="J806" s="60"/>
    </row>
    <row r="807" spans="1:10" ht="24.75" thickBot="1" x14ac:dyDescent="0.3">
      <c r="A807" s="101" t="s">
        <v>966</v>
      </c>
      <c r="B807" s="102">
        <f>B808</f>
        <v>367440000</v>
      </c>
      <c r="C807" s="103"/>
      <c r="D807" s="103"/>
      <c r="E807" s="104"/>
      <c r="F807" s="102">
        <f t="shared" si="23"/>
        <v>24476001</v>
      </c>
      <c r="G807" s="102">
        <f>SUM(G808)</f>
        <v>342963999</v>
      </c>
      <c r="H807" s="125">
        <f t="shared" si="24"/>
        <v>93.338776126714563</v>
      </c>
      <c r="I807" s="60"/>
      <c r="J807" s="60"/>
    </row>
    <row r="808" spans="1:10" ht="36.75" thickBot="1" x14ac:dyDescent="0.3">
      <c r="A808" s="106" t="s">
        <v>1730</v>
      </c>
      <c r="B808" s="107">
        <f>SUM(B809:B813)</f>
        <v>367440000</v>
      </c>
      <c r="C808" s="108"/>
      <c r="D808" s="108"/>
      <c r="E808" s="109"/>
      <c r="F808" s="107">
        <f t="shared" si="23"/>
        <v>24476001</v>
      </c>
      <c r="G808" s="109">
        <f>SUM(G809:G813)</f>
        <v>342963999</v>
      </c>
      <c r="H808" s="114">
        <f>AVERAGE(H809:H813)</f>
        <v>95.557490288010712</v>
      </c>
      <c r="I808" s="60"/>
      <c r="J808" s="60"/>
    </row>
    <row r="809" spans="1:10" ht="24.75" thickBot="1" x14ac:dyDescent="0.3">
      <c r="A809" s="111" t="s">
        <v>1731</v>
      </c>
      <c r="B809" s="112">
        <v>69465000</v>
      </c>
      <c r="C809" s="111" t="s">
        <v>49</v>
      </c>
      <c r="D809" s="111" t="s">
        <v>194</v>
      </c>
      <c r="E809" s="112">
        <v>68265000</v>
      </c>
      <c r="F809" s="112">
        <f t="shared" si="23"/>
        <v>1200000</v>
      </c>
      <c r="G809" s="112">
        <v>68265000</v>
      </c>
      <c r="H809" s="113">
        <v>100</v>
      </c>
      <c r="I809" s="60"/>
      <c r="J809" s="60"/>
    </row>
    <row r="810" spans="1:10" ht="24.75" thickBot="1" x14ac:dyDescent="0.3">
      <c r="A810" s="111" t="s">
        <v>1732</v>
      </c>
      <c r="B810" s="112">
        <v>69465000</v>
      </c>
      <c r="C810" s="111" t="s">
        <v>49</v>
      </c>
      <c r="D810" s="111" t="s">
        <v>194</v>
      </c>
      <c r="E810" s="112">
        <v>68487000</v>
      </c>
      <c r="F810" s="112">
        <f t="shared" si="23"/>
        <v>978000</v>
      </c>
      <c r="G810" s="112">
        <v>68487000</v>
      </c>
      <c r="H810" s="113">
        <v>100</v>
      </c>
      <c r="I810" s="60"/>
      <c r="J810" s="60"/>
    </row>
    <row r="811" spans="1:10" ht="24.75" thickBot="1" x14ac:dyDescent="0.3">
      <c r="A811" s="111" t="s">
        <v>1733</v>
      </c>
      <c r="B811" s="112">
        <v>69465000</v>
      </c>
      <c r="C811" s="111" t="s">
        <v>49</v>
      </c>
      <c r="D811" s="111" t="s">
        <v>194</v>
      </c>
      <c r="E811" s="112">
        <v>68154000</v>
      </c>
      <c r="F811" s="112">
        <f t="shared" si="23"/>
        <v>1311000</v>
      </c>
      <c r="G811" s="112">
        <v>68154000</v>
      </c>
      <c r="H811" s="113">
        <v>100</v>
      </c>
      <c r="I811" s="60"/>
      <c r="J811" s="60"/>
    </row>
    <row r="812" spans="1:10" ht="24.75" thickBot="1" x14ac:dyDescent="0.3">
      <c r="A812" s="111" t="s">
        <v>1734</v>
      </c>
      <c r="B812" s="112">
        <v>69465000</v>
      </c>
      <c r="C812" s="111" t="s">
        <v>49</v>
      </c>
      <c r="D812" s="111" t="s">
        <v>194</v>
      </c>
      <c r="E812" s="112">
        <v>68376000</v>
      </c>
      <c r="F812" s="112">
        <f t="shared" si="23"/>
        <v>1089000</v>
      </c>
      <c r="G812" s="112">
        <v>68376000</v>
      </c>
      <c r="H812" s="113">
        <v>100</v>
      </c>
      <c r="I812" s="60"/>
      <c r="J812" s="60"/>
    </row>
    <row r="813" spans="1:10" ht="12.75" thickBot="1" x14ac:dyDescent="0.3">
      <c r="A813" s="111" t="s">
        <v>198</v>
      </c>
      <c r="B813" s="112">
        <f>97140000-7560000</f>
        <v>89580000</v>
      </c>
      <c r="C813" s="111" t="s">
        <v>19</v>
      </c>
      <c r="D813" s="111" t="s">
        <v>19</v>
      </c>
      <c r="E813" s="112">
        <v>0</v>
      </c>
      <c r="F813" s="112">
        <f t="shared" si="23"/>
        <v>19898001</v>
      </c>
      <c r="G813" s="81">
        <v>69681999</v>
      </c>
      <c r="H813" s="113">
        <f t="shared" ref="H813:H822" si="25">G813/B813*100</f>
        <v>77.787451440053573</v>
      </c>
      <c r="I813" s="60"/>
      <c r="J813" s="60"/>
    </row>
    <row r="814" spans="1:10" ht="24.75" thickBot="1" x14ac:dyDescent="0.3">
      <c r="A814" s="101" t="s">
        <v>983</v>
      </c>
      <c r="B814" s="102">
        <f>B815</f>
        <v>292440000</v>
      </c>
      <c r="C814" s="103"/>
      <c r="D814" s="103"/>
      <c r="E814" s="104"/>
      <c r="F814" s="102">
        <f t="shared" si="23"/>
        <v>11747180</v>
      </c>
      <c r="G814" s="102">
        <f>SUM(G815)</f>
        <v>280692820</v>
      </c>
      <c r="H814" s="125">
        <f t="shared" si="25"/>
        <v>95.983046094925456</v>
      </c>
    </row>
    <row r="815" spans="1:10" ht="36.75" thickBot="1" x14ac:dyDescent="0.3">
      <c r="A815" s="106" t="s">
        <v>1735</v>
      </c>
      <c r="B815" s="107">
        <f>SUM(B816:B817)</f>
        <v>292440000</v>
      </c>
      <c r="C815" s="108"/>
      <c r="D815" s="108"/>
      <c r="E815" s="109"/>
      <c r="F815" s="107">
        <f t="shared" si="23"/>
        <v>11747180</v>
      </c>
      <c r="G815" s="109">
        <f>SUM(G816:G817)</f>
        <v>280692820</v>
      </c>
      <c r="H815" s="114">
        <f t="shared" si="25"/>
        <v>95.983046094925456</v>
      </c>
      <c r="J815" s="81">
        <f>101089692-G815</f>
        <v>-179603128</v>
      </c>
    </row>
    <row r="816" spans="1:10" ht="12.75" thickBot="1" x14ac:dyDescent="0.3">
      <c r="A816" s="111" t="s">
        <v>71</v>
      </c>
      <c r="B816" s="112">
        <v>61200000</v>
      </c>
      <c r="C816" s="111" t="s">
        <v>49</v>
      </c>
      <c r="D816" s="111" t="s">
        <v>72</v>
      </c>
      <c r="E816" s="112">
        <v>61200000</v>
      </c>
      <c r="F816" s="112">
        <f t="shared" si="23"/>
        <v>0</v>
      </c>
      <c r="G816" s="112">
        <f>5100000+5100000+5100000+5100000+5100000+5100000+5100000+5100000+5100000+5100000+5100000+5100000</f>
        <v>61200000</v>
      </c>
      <c r="H816" s="113">
        <f t="shared" si="25"/>
        <v>100</v>
      </c>
    </row>
    <row r="817" spans="1:10" ht="12.75" thickBot="1" x14ac:dyDescent="0.3">
      <c r="A817" s="111" t="s">
        <v>73</v>
      </c>
      <c r="B817" s="112">
        <f>238800000-7560000</f>
        <v>231240000</v>
      </c>
      <c r="C817" s="111" t="s">
        <v>19</v>
      </c>
      <c r="D817" s="111" t="s">
        <v>19</v>
      </c>
      <c r="E817" s="112">
        <v>0</v>
      </c>
      <c r="F817" s="112">
        <f t="shared" si="23"/>
        <v>11747180</v>
      </c>
      <c r="G817" s="81">
        <v>219492820</v>
      </c>
      <c r="H817" s="113">
        <f t="shared" si="25"/>
        <v>94.919918699186994</v>
      </c>
    </row>
    <row r="818" spans="1:10" ht="24.75" thickBot="1" x14ac:dyDescent="0.3">
      <c r="A818" s="101" t="s">
        <v>987</v>
      </c>
      <c r="B818" s="102">
        <f>SUM(B819,B821)</f>
        <v>98650000</v>
      </c>
      <c r="C818" s="103"/>
      <c r="D818" s="103"/>
      <c r="E818" s="104"/>
      <c r="F818" s="102">
        <f t="shared" si="23"/>
        <v>3105000</v>
      </c>
      <c r="G818" s="102">
        <f>SUM(G819,G821)</f>
        <v>95545000</v>
      </c>
      <c r="H818" s="125">
        <f t="shared" si="25"/>
        <v>96.852508869741499</v>
      </c>
    </row>
    <row r="819" spans="1:10" ht="36.75" thickBot="1" x14ac:dyDescent="0.3">
      <c r="A819" s="106" t="s">
        <v>1736</v>
      </c>
      <c r="B819" s="107">
        <f>SUM(B820)</f>
        <v>48650000</v>
      </c>
      <c r="C819" s="108"/>
      <c r="D819" s="108"/>
      <c r="E819" s="109"/>
      <c r="F819" s="107">
        <f t="shared" si="23"/>
        <v>1447000</v>
      </c>
      <c r="G819" s="109">
        <f>SUM(G820)</f>
        <v>47203000</v>
      </c>
      <c r="H819" s="114">
        <f t="shared" si="25"/>
        <v>97.025693730729699</v>
      </c>
    </row>
    <row r="820" spans="1:10" ht="12.75" thickBot="1" x14ac:dyDescent="0.3">
      <c r="A820" s="111" t="s">
        <v>18</v>
      </c>
      <c r="B820" s="112">
        <v>48650000</v>
      </c>
      <c r="C820" s="111" t="s">
        <v>19</v>
      </c>
      <c r="D820" s="111" t="s">
        <v>19</v>
      </c>
      <c r="E820" s="112">
        <v>0</v>
      </c>
      <c r="F820" s="112">
        <f t="shared" si="23"/>
        <v>1447000</v>
      </c>
      <c r="G820" s="112">
        <v>47203000</v>
      </c>
      <c r="H820" s="113">
        <f t="shared" si="25"/>
        <v>97.025693730729699</v>
      </c>
    </row>
    <row r="821" spans="1:10" ht="24.75" thickBot="1" x14ac:dyDescent="0.3">
      <c r="A821" s="106" t="s">
        <v>1737</v>
      </c>
      <c r="B821" s="107">
        <f>SUM(B822:B822)</f>
        <v>50000000</v>
      </c>
      <c r="C821" s="108"/>
      <c r="D821" s="108"/>
      <c r="E821" s="109"/>
      <c r="F821" s="107">
        <f t="shared" si="23"/>
        <v>1658000</v>
      </c>
      <c r="G821" s="109">
        <f>SUM(G822:G822)</f>
        <v>48342000</v>
      </c>
      <c r="H821" s="114">
        <f t="shared" si="25"/>
        <v>96.683999999999997</v>
      </c>
    </row>
    <row r="822" spans="1:10" ht="12.75" thickBot="1" x14ac:dyDescent="0.25">
      <c r="A822" s="111" t="s">
        <v>18</v>
      </c>
      <c r="B822" s="129">
        <v>50000000</v>
      </c>
      <c r="C822" s="111" t="s">
        <v>19</v>
      </c>
      <c r="D822" s="111" t="s">
        <v>19</v>
      </c>
      <c r="E822" s="112">
        <v>0</v>
      </c>
      <c r="F822" s="112">
        <f t="shared" si="23"/>
        <v>1658000</v>
      </c>
      <c r="G822" s="81">
        <v>48342000</v>
      </c>
      <c r="H822" s="113">
        <f t="shared" si="25"/>
        <v>96.683999999999997</v>
      </c>
    </row>
    <row r="823" spans="1:10" x14ac:dyDescent="0.25">
      <c r="I823" s="60"/>
      <c r="J823" s="60"/>
    </row>
    <row r="824" spans="1:10" x14ac:dyDescent="0.25">
      <c r="I824" s="60"/>
      <c r="J824" s="60"/>
    </row>
    <row r="825" spans="1:10" ht="15" customHeight="1" x14ac:dyDescent="0.25">
      <c r="I825" s="60"/>
      <c r="J825" s="60"/>
    </row>
    <row r="826" spans="1:10" x14ac:dyDescent="0.25">
      <c r="I826" s="60"/>
      <c r="J826" s="60"/>
    </row>
    <row r="827" spans="1:10" x14ac:dyDescent="0.25">
      <c r="I827" s="60"/>
      <c r="J827" s="60"/>
    </row>
    <row r="828" spans="1:10" x14ac:dyDescent="0.25">
      <c r="I828" s="60"/>
      <c r="J828" s="60"/>
    </row>
    <row r="829" spans="1:10" x14ac:dyDescent="0.25">
      <c r="I829" s="60"/>
      <c r="J829" s="60"/>
    </row>
    <row r="830" spans="1:10" x14ac:dyDescent="0.25">
      <c r="I830" s="60"/>
      <c r="J830" s="60"/>
    </row>
    <row r="831" spans="1:10" x14ac:dyDescent="0.25">
      <c r="I831" s="60"/>
      <c r="J831" s="60"/>
    </row>
    <row r="832" spans="1:10" x14ac:dyDescent="0.25">
      <c r="I832" s="60"/>
      <c r="J832" s="60"/>
    </row>
    <row r="835" spans="2:10" x14ac:dyDescent="0.25">
      <c r="I835" s="60"/>
      <c r="J835" s="60"/>
    </row>
    <row r="836" spans="2:10" x14ac:dyDescent="0.25">
      <c r="I836" s="60"/>
      <c r="J836" s="60"/>
    </row>
    <row r="837" spans="2:10" x14ac:dyDescent="0.25">
      <c r="I837" s="60"/>
      <c r="J837" s="60"/>
    </row>
    <row r="842" spans="2:10" x14ac:dyDescent="0.25">
      <c r="B842" s="81"/>
      <c r="C842" s="81"/>
    </row>
    <row r="843" spans="2:10" x14ac:dyDescent="0.25">
      <c r="B843" s="81"/>
    </row>
    <row r="844" spans="2:10" x14ac:dyDescent="0.25">
      <c r="B844" s="81"/>
      <c r="C844" s="81"/>
    </row>
    <row r="845" spans="2:10" x14ac:dyDescent="0.25">
      <c r="B845" s="81"/>
    </row>
    <row r="846" spans="2:10" x14ac:dyDescent="0.25">
      <c r="B846" s="81"/>
      <c r="C846" s="81"/>
    </row>
    <row r="847" spans="2:10" x14ac:dyDescent="0.25">
      <c r="B847" s="81"/>
      <c r="C847" s="81"/>
    </row>
    <row r="848" spans="2:10" x14ac:dyDescent="0.25">
      <c r="B848" s="81"/>
    </row>
    <row r="849" spans="1:2" x14ac:dyDescent="0.25">
      <c r="A849" s="81"/>
      <c r="B849" s="81"/>
    </row>
  </sheetData>
  <pageMargins left="0.39370078740157483" right="0.39370078740157483" top="0.35433070866141736" bottom="0.35433070866141736" header="0.31496062992125984" footer="0.31496062992125984"/>
  <pageSetup paperSize="5" scale="52"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LAP PENGADAAN DESEMBER 2024</vt:lpstr>
      <vt:lpstr>LAP PENGADAAN DESEMBER 2023</vt:lpstr>
      <vt:lpstr>'LAP PENGADAAN DESEMBER 2023'!Print_Area</vt:lpstr>
      <vt:lpstr>'LAP PENGADAAN DESEMBER 2024'!Print_Area</vt:lpstr>
      <vt:lpstr>'LAP PENGADAAN DESEMBER 2023'!Print_Titles</vt:lpstr>
      <vt:lpstr>'LAP PENGADAAN DESEMBER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dc:creator>
  <cp:lastModifiedBy>AYU</cp:lastModifiedBy>
  <dcterms:created xsi:type="dcterms:W3CDTF">2026-05-18T01:09:08Z</dcterms:created>
  <dcterms:modified xsi:type="dcterms:W3CDTF">2026-05-18T08:44:06Z</dcterms:modified>
</cp:coreProperties>
</file>