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DATA AYU\2026\DATA DUKUNG LPPD 2025\"/>
    </mc:Choice>
  </mc:AlternateContent>
  <xr:revisionPtr revIDLastSave="0" documentId="8_{FDADD579-80D7-440C-851D-4FB94845C94E}" xr6:coauthVersionLast="47" xr6:coauthVersionMax="47" xr10:uidLastSave="{00000000-0000-0000-0000-000000000000}"/>
  <bookViews>
    <workbookView xWindow="-120" yWindow="-120" windowWidth="20730" windowHeight="11160" xr2:uid="{EDD8F850-C86B-45CD-BDAC-4FB29D46ABCD}"/>
  </bookViews>
  <sheets>
    <sheet name="LAP PENGADAAN DESEMBER 2025" sheetId="1" r:id="rId1"/>
  </sheets>
  <externalReferences>
    <externalReference r:id="rId2"/>
  </externalReferences>
  <definedNames>
    <definedName name="_AAA">#REF!</definedName>
    <definedName name="_xlnm._FilterDatabase" localSheetId="0" hidden="1">'LAP PENGADAAN DESEMBER 2025'!$A$6:$I$1196</definedName>
    <definedName name="DFERE">#REF!</definedName>
    <definedName name="g">#REF!</definedName>
    <definedName name="h">#REF!</definedName>
    <definedName name="J">#REF!</definedName>
    <definedName name="Jd">#REF!</definedName>
    <definedName name="k">#REF!</definedName>
    <definedName name="Left">#REF!</definedName>
    <definedName name="NO">#REF!</definedName>
    <definedName name="PBJ">#REF!</definedName>
    <definedName name="_xlnm.Print_Area" localSheetId="0">'LAP PENGADAAN DESEMBER 2025'!$A$1:$G$1213</definedName>
    <definedName name="_xlnm.Print_Titles" localSheetId="0">'LAP PENGADAAN DESEMBER 2025'!#REF!</definedName>
    <definedName name="Q">#REF!</definedName>
    <definedName name="w">#REF!</definedName>
    <definedName name="Z">#REF!</definedName>
    <definedName name="Z_1">#REF!</definedName>
    <definedName name="Z_12">#REF!</definedName>
    <definedName name="Z_13">#REF!</definedName>
    <definedName name="Z_14">#REF!</definedName>
    <definedName name="Z_15">#REF!</definedName>
    <definedName name="Z_16">#REF!</definedName>
    <definedName name="Z_17">#REF!</definedName>
    <definedName name="Z_18">#REF!</definedName>
    <definedName name="Z_19">#REF!</definedName>
    <definedName name="Z_2">#REF!</definedName>
    <definedName name="Z_21">#REF!</definedName>
    <definedName name="Z_22">#REF!</definedName>
    <definedName name="Z_23">#REF!</definedName>
    <definedName name="Z_24">#REF!</definedName>
    <definedName name="Z_25">#REF!</definedName>
    <definedName name="Z_26">#REF!</definedName>
    <definedName name="Z_27">#REF!</definedName>
    <definedName name="Z_29">#REF!</definedName>
    <definedName name="Z_3">#REF!</definedName>
    <definedName name="Z_30">#REF!</definedName>
    <definedName name="Z_31">#REF!</definedName>
    <definedName name="Z_32">#REF!</definedName>
    <definedName name="Z_4">#REF!</definedName>
    <definedName name="Z_5">#REF!</definedName>
    <definedName name="Z_6">#REF!</definedName>
    <definedName name="Z_7">#REF!</definedName>
    <definedName name="Z_8">#REF!</definedName>
    <definedName name="Z_9">#REF!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96" i="1" l="1"/>
  <c r="E1196" i="1"/>
  <c r="E1195" i="1" s="1"/>
  <c r="D1196" i="1"/>
  <c r="F1195" i="1"/>
  <c r="B1195" i="1"/>
  <c r="G1194" i="1"/>
  <c r="E1194" i="1"/>
  <c r="E1193" i="1" s="1"/>
  <c r="D1194" i="1"/>
  <c r="F1193" i="1"/>
  <c r="B1193" i="1"/>
  <c r="F1191" i="1"/>
  <c r="B1191" i="1"/>
  <c r="E1190" i="1"/>
  <c r="G1189" i="1"/>
  <c r="E1188" i="1"/>
  <c r="F1187" i="1"/>
  <c r="B1187" i="1"/>
  <c r="B1185" i="1" s="1"/>
  <c r="E1186" i="1"/>
  <c r="G1185" i="1"/>
  <c r="E1184" i="1"/>
  <c r="E1183" i="1" s="1"/>
  <c r="D1184" i="1"/>
  <c r="G1183" i="1"/>
  <c r="F1183" i="1"/>
  <c r="B1183" i="1"/>
  <c r="D1182" i="1"/>
  <c r="B1182" i="1"/>
  <c r="E1182" i="1" s="1"/>
  <c r="B1181" i="1"/>
  <c r="F1180" i="1"/>
  <c r="F1178" i="1"/>
  <c r="F1160" i="1" s="1"/>
  <c r="B1178" i="1"/>
  <c r="B1177" i="1"/>
  <c r="E1177" i="1" s="1"/>
  <c r="E1176" i="1"/>
  <c r="E1175" i="1"/>
  <c r="B1174" i="1"/>
  <c r="E1174" i="1" s="1"/>
  <c r="B1173" i="1"/>
  <c r="E1173" i="1" s="1"/>
  <c r="B1172" i="1"/>
  <c r="E1172" i="1" s="1"/>
  <c r="B1171" i="1"/>
  <c r="E1171" i="1" s="1"/>
  <c r="B1170" i="1"/>
  <c r="E1170" i="1" s="1"/>
  <c r="B1169" i="1"/>
  <c r="B1168" i="1"/>
  <c r="E1168" i="1" s="1"/>
  <c r="E1167" i="1"/>
  <c r="E1166" i="1"/>
  <c r="E1165" i="1"/>
  <c r="E1164" i="1"/>
  <c r="E1163" i="1"/>
  <c r="E1162" i="1"/>
  <c r="E1161" i="1"/>
  <c r="E1159" i="1"/>
  <c r="E1158" i="1"/>
  <c r="F1157" i="1"/>
  <c r="G1156" i="1"/>
  <c r="B1156" i="1"/>
  <c r="F1154" i="1"/>
  <c r="B1154" i="1"/>
  <c r="B1152" i="1" s="1"/>
  <c r="E1153" i="1"/>
  <c r="D1153" i="1"/>
  <c r="E1151" i="1"/>
  <c r="E1150" i="1" s="1"/>
  <c r="D1151" i="1"/>
  <c r="G1150" i="1"/>
  <c r="F1150" i="1"/>
  <c r="B1150" i="1"/>
  <c r="E1147" i="1"/>
  <c r="F1146" i="1"/>
  <c r="F1145" i="1" s="1"/>
  <c r="G1145" i="1"/>
  <c r="B1145" i="1"/>
  <c r="F1144" i="1"/>
  <c r="F1143" i="1" s="1"/>
  <c r="G1143" i="1"/>
  <c r="B1143" i="1"/>
  <c r="E1141" i="1"/>
  <c r="E1140" i="1"/>
  <c r="E1139" i="1"/>
  <c r="E1138" i="1"/>
  <c r="E1137" i="1"/>
  <c r="E1136" i="1"/>
  <c r="F1135" i="1"/>
  <c r="B1135" i="1"/>
  <c r="G1134" i="1"/>
  <c r="E1133" i="1"/>
  <c r="G1132" i="1"/>
  <c r="E1132" i="1"/>
  <c r="D1132" i="1"/>
  <c r="G1131" i="1"/>
  <c r="F1131" i="1"/>
  <c r="B1131" i="1"/>
  <c r="E1129" i="1"/>
  <c r="E1128" i="1" s="1"/>
  <c r="D1129" i="1"/>
  <c r="G1128" i="1"/>
  <c r="F1128" i="1"/>
  <c r="B1128" i="1"/>
  <c r="F1127" i="1"/>
  <c r="F1126" i="1" s="1"/>
  <c r="G1126" i="1"/>
  <c r="B1126" i="1"/>
  <c r="F1125" i="1"/>
  <c r="G1125" i="1" s="1"/>
  <c r="G1124" i="1"/>
  <c r="G1123" i="1" s="1"/>
  <c r="E1124" i="1"/>
  <c r="D1124" i="1"/>
  <c r="B1123" i="1"/>
  <c r="F1122" i="1"/>
  <c r="E1121" i="1"/>
  <c r="D1121" i="1"/>
  <c r="B1120" i="1"/>
  <c r="E1117" i="1"/>
  <c r="E1116" i="1"/>
  <c r="E1115" i="1"/>
  <c r="E1114" i="1"/>
  <c r="E1113" i="1"/>
  <c r="E1112" i="1"/>
  <c r="E1111" i="1"/>
  <c r="E1110" i="1"/>
  <c r="E1109" i="1"/>
  <c r="E1108" i="1"/>
  <c r="E1107" i="1"/>
  <c r="E1106" i="1"/>
  <c r="E1105" i="1"/>
  <c r="F1104" i="1"/>
  <c r="E1104" i="1" s="1"/>
  <c r="D1104" i="1"/>
  <c r="E1103" i="1"/>
  <c r="E1102" i="1"/>
  <c r="E1101" i="1"/>
  <c r="E1100" i="1"/>
  <c r="E1099" i="1"/>
  <c r="E1098" i="1"/>
  <c r="E1097" i="1"/>
  <c r="E1096" i="1"/>
  <c r="E1095" i="1"/>
  <c r="E1094" i="1"/>
  <c r="E1093" i="1"/>
  <c r="F1092" i="1"/>
  <c r="E1092" i="1" s="1"/>
  <c r="D1092" i="1"/>
  <c r="E1091" i="1"/>
  <c r="E1090" i="1"/>
  <c r="E1089" i="1"/>
  <c r="E1088" i="1"/>
  <c r="E1087" i="1"/>
  <c r="B1086" i="1"/>
  <c r="E1086" i="1" s="1"/>
  <c r="E1085" i="1"/>
  <c r="E1084" i="1"/>
  <c r="E1083" i="1"/>
  <c r="E1082" i="1"/>
  <c r="E1081" i="1"/>
  <c r="E1080" i="1"/>
  <c r="E1079" i="1"/>
  <c r="E1078" i="1"/>
  <c r="E1077" i="1"/>
  <c r="D1076" i="1"/>
  <c r="B1076" i="1"/>
  <c r="E1076" i="1" s="1"/>
  <c r="E1075" i="1"/>
  <c r="E1074" i="1"/>
  <c r="E1073" i="1"/>
  <c r="E1072" i="1"/>
  <c r="E1071" i="1"/>
  <c r="E1070" i="1"/>
  <c r="E1069" i="1"/>
  <c r="E1068" i="1"/>
  <c r="E1067" i="1"/>
  <c r="B1066" i="1"/>
  <c r="E1066" i="1" s="1"/>
  <c r="B1065" i="1"/>
  <c r="E1065" i="1" s="1"/>
  <c r="B1064" i="1"/>
  <c r="E1064" i="1" s="1"/>
  <c r="E1063" i="1"/>
  <c r="E1062" i="1"/>
  <c r="E1061" i="1"/>
  <c r="E1060" i="1"/>
  <c r="E1059" i="1"/>
  <c r="E1058" i="1"/>
  <c r="E1057" i="1"/>
  <c r="E1056" i="1"/>
  <c r="E1055" i="1"/>
  <c r="E1054" i="1"/>
  <c r="E1053" i="1"/>
  <c r="E1052" i="1"/>
  <c r="E1051" i="1"/>
  <c r="E1050" i="1"/>
  <c r="E1049" i="1"/>
  <c r="B1048" i="1"/>
  <c r="E1048" i="1" s="1"/>
  <c r="B1047" i="1"/>
  <c r="E1047" i="1" s="1"/>
  <c r="E1046" i="1"/>
  <c r="B1045" i="1"/>
  <c r="E1045" i="1" s="1"/>
  <c r="B1044" i="1"/>
  <c r="E1044" i="1" s="1"/>
  <c r="B1043" i="1"/>
  <c r="E1043" i="1" s="1"/>
  <c r="B1042" i="1"/>
  <c r="E1042" i="1" s="1"/>
  <c r="B1041" i="1"/>
  <c r="E1041" i="1" s="1"/>
  <c r="E1040" i="1"/>
  <c r="B1039" i="1"/>
  <c r="E1039" i="1" s="1"/>
  <c r="E1038" i="1"/>
  <c r="B1037" i="1"/>
  <c r="E1037" i="1" s="1"/>
  <c r="B1036" i="1"/>
  <c r="E1036" i="1" s="1"/>
  <c r="B1035" i="1"/>
  <c r="E1035" i="1" s="1"/>
  <c r="E1034" i="1"/>
  <c r="E1033" i="1"/>
  <c r="E1032" i="1"/>
  <c r="B1031" i="1"/>
  <c r="E1031" i="1" s="1"/>
  <c r="B1030" i="1"/>
  <c r="E1030" i="1" s="1"/>
  <c r="B1029" i="1"/>
  <c r="E1029" i="1" s="1"/>
  <c r="B1028" i="1"/>
  <c r="E1028" i="1" s="1"/>
  <c r="B1027" i="1"/>
  <c r="E1027" i="1" s="1"/>
  <c r="E1026" i="1"/>
  <c r="E1025" i="1"/>
  <c r="E1024" i="1"/>
  <c r="E1023" i="1"/>
  <c r="E1022" i="1"/>
  <c r="E1021" i="1"/>
  <c r="E1020" i="1"/>
  <c r="E1019" i="1"/>
  <c r="E1018" i="1"/>
  <c r="D1018" i="1"/>
  <c r="E1017" i="1"/>
  <c r="D1017" i="1"/>
  <c r="B1016" i="1"/>
  <c r="E1016" i="1" s="1"/>
  <c r="E1015" i="1"/>
  <c r="E1014" i="1"/>
  <c r="E1013" i="1"/>
  <c r="E1012" i="1"/>
  <c r="E1011" i="1"/>
  <c r="E1010" i="1"/>
  <c r="E1009" i="1"/>
  <c r="E1008" i="1"/>
  <c r="E1007" i="1"/>
  <c r="E1006" i="1"/>
  <c r="B1005" i="1"/>
  <c r="E1005" i="1" s="1"/>
  <c r="E1004" i="1"/>
  <c r="G1003" i="1"/>
  <c r="E1002" i="1"/>
  <c r="E1001" i="1"/>
  <c r="E1000" i="1"/>
  <c r="E999" i="1"/>
  <c r="E998" i="1"/>
  <c r="B997" i="1"/>
  <c r="E997" i="1" s="1"/>
  <c r="E996" i="1"/>
  <c r="F995" i="1"/>
  <c r="D995" i="1" s="1"/>
  <c r="B995" i="1"/>
  <c r="E994" i="1"/>
  <c r="E993" i="1"/>
  <c r="G992" i="1"/>
  <c r="E992" i="1"/>
  <c r="G991" i="1"/>
  <c r="E991" i="1"/>
  <c r="E990" i="1"/>
  <c r="E989" i="1"/>
  <c r="F988" i="1"/>
  <c r="E988" i="1" s="1"/>
  <c r="F987" i="1"/>
  <c r="E987" i="1" s="1"/>
  <c r="F986" i="1"/>
  <c r="E986" i="1" s="1"/>
  <c r="F985" i="1"/>
  <c r="E985" i="1" s="1"/>
  <c r="E984" i="1"/>
  <c r="E983" i="1"/>
  <c r="E982" i="1"/>
  <c r="F981" i="1"/>
  <c r="E981" i="1" s="1"/>
  <c r="F980" i="1"/>
  <c r="E980" i="1" s="1"/>
  <c r="E979" i="1"/>
  <c r="B978" i="1"/>
  <c r="E977" i="1"/>
  <c r="E975" i="1"/>
  <c r="E974" i="1"/>
  <c r="F973" i="1"/>
  <c r="D973" i="1" s="1"/>
  <c r="B973" i="1"/>
  <c r="E972" i="1"/>
  <c r="E971" i="1"/>
  <c r="E970" i="1"/>
  <c r="E969" i="1"/>
  <c r="E968" i="1"/>
  <c r="E967" i="1"/>
  <c r="E966" i="1"/>
  <c r="E965" i="1"/>
  <c r="E964" i="1"/>
  <c r="E963" i="1"/>
  <c r="E962" i="1"/>
  <c r="E961" i="1"/>
  <c r="E960" i="1"/>
  <c r="E959" i="1"/>
  <c r="E958" i="1"/>
  <c r="B957" i="1"/>
  <c r="E957" i="1" s="1"/>
  <c r="E956" i="1"/>
  <c r="E955" i="1"/>
  <c r="G953" i="1"/>
  <c r="E953" i="1"/>
  <c r="E952" i="1"/>
  <c r="D951" i="1"/>
  <c r="B951" i="1"/>
  <c r="E950" i="1"/>
  <c r="E949" i="1"/>
  <c r="B948" i="1"/>
  <c r="E948" i="1" s="1"/>
  <c r="E947" i="1"/>
  <c r="B946" i="1"/>
  <c r="E946" i="1" s="1"/>
  <c r="E945" i="1"/>
  <c r="G944" i="1"/>
  <c r="E944" i="1"/>
  <c r="E943" i="1"/>
  <c r="E942" i="1"/>
  <c r="E941" i="1"/>
  <c r="E940" i="1"/>
  <c r="E939" i="1"/>
  <c r="E938" i="1"/>
  <c r="B937" i="1"/>
  <c r="F936" i="1"/>
  <c r="E935" i="1"/>
  <c r="E934" i="1"/>
  <c r="E933" i="1"/>
  <c r="E932" i="1"/>
  <c r="E931" i="1"/>
  <c r="E930" i="1"/>
  <c r="E929" i="1"/>
  <c r="E928" i="1"/>
  <c r="E927" i="1"/>
  <c r="E926" i="1"/>
  <c r="E925" i="1"/>
  <c r="E924" i="1"/>
  <c r="E923" i="1"/>
  <c r="E922" i="1"/>
  <c r="E921" i="1"/>
  <c r="E920" i="1"/>
  <c r="E919" i="1"/>
  <c r="E918" i="1"/>
  <c r="E917" i="1"/>
  <c r="E916" i="1"/>
  <c r="E915" i="1"/>
  <c r="E914" i="1"/>
  <c r="E913" i="1"/>
  <c r="E912" i="1"/>
  <c r="E911" i="1"/>
  <c r="E910" i="1"/>
  <c r="E909" i="1"/>
  <c r="E908" i="1"/>
  <c r="E907" i="1"/>
  <c r="E906" i="1"/>
  <c r="E905" i="1"/>
  <c r="E904" i="1"/>
  <c r="E903" i="1"/>
  <c r="E902" i="1"/>
  <c r="E901" i="1"/>
  <c r="E900" i="1"/>
  <c r="E899" i="1"/>
  <c r="E898" i="1"/>
  <c r="E897" i="1"/>
  <c r="E896" i="1"/>
  <c r="E895" i="1"/>
  <c r="E894" i="1"/>
  <c r="E893" i="1"/>
  <c r="E892" i="1"/>
  <c r="E891" i="1"/>
  <c r="E890" i="1"/>
  <c r="E889" i="1"/>
  <c r="E888" i="1"/>
  <c r="E887" i="1"/>
  <c r="E886" i="1"/>
  <c r="E885" i="1"/>
  <c r="E884" i="1"/>
  <c r="E883" i="1"/>
  <c r="E882" i="1"/>
  <c r="E881" i="1"/>
  <c r="E880" i="1"/>
  <c r="E879" i="1"/>
  <c r="E878" i="1"/>
  <c r="E877" i="1"/>
  <c r="E876" i="1"/>
  <c r="E875" i="1"/>
  <c r="E874" i="1"/>
  <c r="E873" i="1"/>
  <c r="E872" i="1"/>
  <c r="E871" i="1"/>
  <c r="E870" i="1"/>
  <c r="E869" i="1"/>
  <c r="E868" i="1"/>
  <c r="E867" i="1"/>
  <c r="E866" i="1"/>
  <c r="E865" i="1"/>
  <c r="E864" i="1"/>
  <c r="E863" i="1"/>
  <c r="E862" i="1"/>
  <c r="E861" i="1"/>
  <c r="E860" i="1"/>
  <c r="E859" i="1"/>
  <c r="E858" i="1"/>
  <c r="E857" i="1"/>
  <c r="E856" i="1"/>
  <c r="E855" i="1"/>
  <c r="E854" i="1"/>
  <c r="E853" i="1"/>
  <c r="E852" i="1"/>
  <c r="E851" i="1"/>
  <c r="E850" i="1"/>
  <c r="E849" i="1"/>
  <c r="E848" i="1"/>
  <c r="E847" i="1"/>
  <c r="E846" i="1"/>
  <c r="E845" i="1"/>
  <c r="E844" i="1"/>
  <c r="E843" i="1"/>
  <c r="E842" i="1"/>
  <c r="E841" i="1"/>
  <c r="E840" i="1"/>
  <c r="E839" i="1"/>
  <c r="E838" i="1"/>
  <c r="E837" i="1"/>
  <c r="E836" i="1"/>
  <c r="E835" i="1"/>
  <c r="E834" i="1"/>
  <c r="E833" i="1"/>
  <c r="E832" i="1"/>
  <c r="E831" i="1"/>
  <c r="E830" i="1"/>
  <c r="E829" i="1"/>
  <c r="E828" i="1"/>
  <c r="E827" i="1"/>
  <c r="E826" i="1"/>
  <c r="E825" i="1"/>
  <c r="E824" i="1"/>
  <c r="E823" i="1"/>
  <c r="E822" i="1"/>
  <c r="E821" i="1"/>
  <c r="E820" i="1"/>
  <c r="E819" i="1"/>
  <c r="E818" i="1"/>
  <c r="E817" i="1"/>
  <c r="E816" i="1"/>
  <c r="E815" i="1"/>
  <c r="E814" i="1"/>
  <c r="E813" i="1"/>
  <c r="E812" i="1"/>
  <c r="E811" i="1"/>
  <c r="E810" i="1"/>
  <c r="E809" i="1"/>
  <c r="E808" i="1"/>
  <c r="E807" i="1"/>
  <c r="E806" i="1"/>
  <c r="E805" i="1"/>
  <c r="E804" i="1"/>
  <c r="E803" i="1"/>
  <c r="E802" i="1"/>
  <c r="E801" i="1"/>
  <c r="E800" i="1"/>
  <c r="E799" i="1"/>
  <c r="E798" i="1"/>
  <c r="E797" i="1"/>
  <c r="E796" i="1"/>
  <c r="E795" i="1"/>
  <c r="E794" i="1"/>
  <c r="E793" i="1"/>
  <c r="E792" i="1"/>
  <c r="E791" i="1"/>
  <c r="E790" i="1"/>
  <c r="E789" i="1"/>
  <c r="E788" i="1"/>
  <c r="F787" i="1"/>
  <c r="E787" i="1" s="1"/>
  <c r="F786" i="1"/>
  <c r="E786" i="1" s="1"/>
  <c r="F785" i="1"/>
  <c r="E785" i="1" s="1"/>
  <c r="D785" i="1"/>
  <c r="F784" i="1"/>
  <c r="E784" i="1" s="1"/>
  <c r="F783" i="1"/>
  <c r="E783" i="1" s="1"/>
  <c r="F782" i="1"/>
  <c r="E782" i="1" s="1"/>
  <c r="F781" i="1"/>
  <c r="E781" i="1" s="1"/>
  <c r="F780" i="1"/>
  <c r="E780" i="1" s="1"/>
  <c r="E779" i="1"/>
  <c r="F778" i="1"/>
  <c r="E778" i="1" s="1"/>
  <c r="F777" i="1"/>
  <c r="E777" i="1" s="1"/>
  <c r="E776" i="1"/>
  <c r="E775" i="1"/>
  <c r="E774" i="1"/>
  <c r="E773" i="1"/>
  <c r="E772" i="1"/>
  <c r="F771" i="1"/>
  <c r="E771" i="1" s="1"/>
  <c r="F770" i="1"/>
  <c r="E770" i="1" s="1"/>
  <c r="F769" i="1"/>
  <c r="E769" i="1" s="1"/>
  <c r="E768" i="1"/>
  <c r="F767" i="1"/>
  <c r="E767" i="1" s="1"/>
  <c r="F766" i="1"/>
  <c r="E766" i="1" s="1"/>
  <c r="D766" i="1"/>
  <c r="F765" i="1"/>
  <c r="E765" i="1" s="1"/>
  <c r="E764" i="1"/>
  <c r="E763" i="1"/>
  <c r="E762" i="1"/>
  <c r="E761" i="1"/>
  <c r="E760" i="1"/>
  <c r="E759" i="1"/>
  <c r="E758" i="1"/>
  <c r="E757" i="1"/>
  <c r="E756" i="1"/>
  <c r="E755" i="1"/>
  <c r="E754" i="1"/>
  <c r="E753" i="1"/>
  <c r="E752" i="1"/>
  <c r="E751" i="1"/>
  <c r="E750" i="1"/>
  <c r="E749" i="1"/>
  <c r="E748" i="1"/>
  <c r="E747" i="1"/>
  <c r="E746" i="1"/>
  <c r="E745" i="1"/>
  <c r="E744" i="1"/>
  <c r="E743" i="1"/>
  <c r="E742" i="1"/>
  <c r="E741" i="1"/>
  <c r="E740" i="1"/>
  <c r="E739" i="1"/>
  <c r="E738" i="1"/>
  <c r="E737" i="1"/>
  <c r="E736" i="1"/>
  <c r="E735" i="1"/>
  <c r="E734" i="1"/>
  <c r="E733" i="1"/>
  <c r="E732" i="1"/>
  <c r="E731" i="1"/>
  <c r="E730" i="1"/>
  <c r="E729" i="1"/>
  <c r="E728" i="1"/>
  <c r="E727" i="1"/>
  <c r="E726" i="1"/>
  <c r="E725" i="1"/>
  <c r="E724" i="1"/>
  <c r="E723" i="1"/>
  <c r="E722" i="1"/>
  <c r="G721" i="1"/>
  <c r="E721" i="1"/>
  <c r="E720" i="1"/>
  <c r="D719" i="1"/>
  <c r="B719" i="1"/>
  <c r="G719" i="1" s="1"/>
  <c r="E718" i="1"/>
  <c r="E717" i="1"/>
  <c r="E716" i="1"/>
  <c r="E715" i="1"/>
  <c r="E714" i="1"/>
  <c r="E713" i="1"/>
  <c r="E712" i="1"/>
  <c r="E711" i="1"/>
  <c r="E710" i="1"/>
  <c r="E709" i="1"/>
  <c r="B708" i="1"/>
  <c r="E708" i="1" s="1"/>
  <c r="E707" i="1"/>
  <c r="E706" i="1"/>
  <c r="E705" i="1"/>
  <c r="E704" i="1"/>
  <c r="F703" i="1"/>
  <c r="E703" i="1" s="1"/>
  <c r="F702" i="1"/>
  <c r="E702" i="1" s="1"/>
  <c r="E701" i="1"/>
  <c r="B700" i="1"/>
  <c r="E700" i="1" s="1"/>
  <c r="E699" i="1"/>
  <c r="E698" i="1"/>
  <c r="B697" i="1"/>
  <c r="E697" i="1" s="1"/>
  <c r="B696" i="1"/>
  <c r="E696" i="1" s="1"/>
  <c r="E695" i="1"/>
  <c r="B694" i="1"/>
  <c r="E694" i="1" s="1"/>
  <c r="B693" i="1"/>
  <c r="E693" i="1" s="1"/>
  <c r="B692" i="1"/>
  <c r="E692" i="1" s="1"/>
  <c r="E691" i="1"/>
  <c r="E690" i="1"/>
  <c r="E689" i="1"/>
  <c r="E688" i="1"/>
  <c r="E687" i="1"/>
  <c r="E686" i="1"/>
  <c r="E685" i="1"/>
  <c r="E684" i="1"/>
  <c r="E683" i="1"/>
  <c r="E682" i="1"/>
  <c r="E681" i="1"/>
  <c r="B680" i="1"/>
  <c r="E680" i="1" s="1"/>
  <c r="E679" i="1"/>
  <c r="E678" i="1"/>
  <c r="E677" i="1"/>
  <c r="E676" i="1"/>
  <c r="E675" i="1"/>
  <c r="E674" i="1"/>
  <c r="E673" i="1"/>
  <c r="E672" i="1"/>
  <c r="E671" i="1"/>
  <c r="E670" i="1"/>
  <c r="E669" i="1"/>
  <c r="E668" i="1"/>
  <c r="E667" i="1"/>
  <c r="E666" i="1"/>
  <c r="E665" i="1"/>
  <c r="E664" i="1"/>
  <c r="E663" i="1"/>
  <c r="E662" i="1"/>
  <c r="B661" i="1"/>
  <c r="E661" i="1" s="1"/>
  <c r="E660" i="1"/>
  <c r="E659" i="1"/>
  <c r="E658" i="1"/>
  <c r="B657" i="1"/>
  <c r="E657" i="1" s="1"/>
  <c r="E656" i="1"/>
  <c r="B655" i="1"/>
  <c r="E655" i="1" s="1"/>
  <c r="E654" i="1"/>
  <c r="E653" i="1"/>
  <c r="F652" i="1"/>
  <c r="E652" i="1" s="1"/>
  <c r="E651" i="1"/>
  <c r="E650" i="1"/>
  <c r="B649" i="1"/>
  <c r="E649" i="1" s="1"/>
  <c r="E648" i="1"/>
  <c r="E647" i="1"/>
  <c r="E646" i="1"/>
  <c r="B645" i="1"/>
  <c r="E645" i="1" s="1"/>
  <c r="B644" i="1"/>
  <c r="E644" i="1" s="1"/>
  <c r="E643" i="1"/>
  <c r="E642" i="1"/>
  <c r="E641" i="1"/>
  <c r="E640" i="1"/>
  <c r="B639" i="1"/>
  <c r="E639" i="1" s="1"/>
  <c r="B638" i="1"/>
  <c r="E638" i="1" s="1"/>
  <c r="E637" i="1"/>
  <c r="B636" i="1"/>
  <c r="E636" i="1" s="1"/>
  <c r="E635" i="1"/>
  <c r="E634" i="1"/>
  <c r="E633" i="1"/>
  <c r="E632" i="1"/>
  <c r="B631" i="1"/>
  <c r="E631" i="1" s="1"/>
  <c r="E630" i="1"/>
  <c r="E629" i="1"/>
  <c r="E628" i="1"/>
  <c r="B627" i="1"/>
  <c r="E627" i="1" s="1"/>
  <c r="E626" i="1"/>
  <c r="E625" i="1"/>
  <c r="E624" i="1"/>
  <c r="E623" i="1"/>
  <c r="B622" i="1"/>
  <c r="E622" i="1" s="1"/>
  <c r="E621" i="1"/>
  <c r="F620" i="1"/>
  <c r="E620" i="1" s="1"/>
  <c r="E619" i="1"/>
  <c r="E618" i="1"/>
  <c r="E617" i="1"/>
  <c r="B616" i="1"/>
  <c r="E616" i="1" s="1"/>
  <c r="E615" i="1"/>
  <c r="E614" i="1"/>
  <c r="E613" i="1"/>
  <c r="E612" i="1"/>
  <c r="E611" i="1"/>
  <c r="E610" i="1"/>
  <c r="E609" i="1"/>
  <c r="E608" i="1"/>
  <c r="E607" i="1"/>
  <c r="E606" i="1"/>
  <c r="E605" i="1"/>
  <c r="E604" i="1"/>
  <c r="E603" i="1"/>
  <c r="E602" i="1"/>
  <c r="E601" i="1"/>
  <c r="E600" i="1"/>
  <c r="E599" i="1"/>
  <c r="E598" i="1"/>
  <c r="E597" i="1"/>
  <c r="E596" i="1"/>
  <c r="F595" i="1"/>
  <c r="E595" i="1" s="1"/>
  <c r="E594" i="1"/>
  <c r="E593" i="1"/>
  <c r="E592" i="1"/>
  <c r="E591" i="1"/>
  <c r="E590" i="1"/>
  <c r="B589" i="1"/>
  <c r="E589" i="1" s="1"/>
  <c r="E588" i="1"/>
  <c r="E587" i="1"/>
  <c r="B586" i="1"/>
  <c r="E586" i="1" s="1"/>
  <c r="E585" i="1"/>
  <c r="E584" i="1"/>
  <c r="E583" i="1"/>
  <c r="B582" i="1"/>
  <c r="E582" i="1" s="1"/>
  <c r="E581" i="1"/>
  <c r="B580" i="1"/>
  <c r="E580" i="1" s="1"/>
  <c r="E579" i="1"/>
  <c r="E578" i="1"/>
  <c r="E577" i="1"/>
  <c r="E576" i="1"/>
  <c r="E575" i="1"/>
  <c r="E574" i="1"/>
  <c r="E573" i="1"/>
  <c r="E572" i="1"/>
  <c r="E571" i="1"/>
  <c r="E570" i="1"/>
  <c r="E569" i="1"/>
  <c r="F568" i="1"/>
  <c r="E568" i="1" s="1"/>
  <c r="E567" i="1"/>
  <c r="E566" i="1"/>
  <c r="B565" i="1"/>
  <c r="E565" i="1" s="1"/>
  <c r="E564" i="1"/>
  <c r="E563" i="1"/>
  <c r="F562" i="1"/>
  <c r="E562" i="1" s="1"/>
  <c r="E561" i="1"/>
  <c r="E560" i="1"/>
  <c r="E559" i="1"/>
  <c r="E558" i="1"/>
  <c r="F557" i="1"/>
  <c r="E557" i="1" s="1"/>
  <c r="E556" i="1"/>
  <c r="E555" i="1"/>
  <c r="B554" i="1"/>
  <c r="E554" i="1" s="1"/>
  <c r="E553" i="1"/>
  <c r="B552" i="1"/>
  <c r="E552" i="1" s="1"/>
  <c r="B551" i="1"/>
  <c r="E551" i="1" s="1"/>
  <c r="E550" i="1"/>
  <c r="F549" i="1"/>
  <c r="E549" i="1" s="1"/>
  <c r="F548" i="1"/>
  <c r="E548" i="1" s="1"/>
  <c r="F547" i="1"/>
  <c r="E547" i="1" s="1"/>
  <c r="F546" i="1"/>
  <c r="E546" i="1" s="1"/>
  <c r="E545" i="1"/>
  <c r="E544" i="1"/>
  <c r="B543" i="1"/>
  <c r="E543" i="1" s="1"/>
  <c r="B542" i="1"/>
  <c r="E542" i="1" s="1"/>
  <c r="E541" i="1"/>
  <c r="E540" i="1"/>
  <c r="E539" i="1"/>
  <c r="E538" i="1"/>
  <c r="B537" i="1"/>
  <c r="E537" i="1" s="1"/>
  <c r="B536" i="1"/>
  <c r="E536" i="1" s="1"/>
  <c r="E535" i="1"/>
  <c r="E534" i="1"/>
  <c r="E533" i="1"/>
  <c r="E531" i="1"/>
  <c r="E530" i="1"/>
  <c r="E529" i="1"/>
  <c r="E528" i="1"/>
  <c r="E527" i="1"/>
  <c r="E526" i="1"/>
  <c r="E525" i="1"/>
  <c r="E524" i="1"/>
  <c r="E523" i="1"/>
  <c r="E522" i="1"/>
  <c r="E521" i="1"/>
  <c r="E520" i="1"/>
  <c r="B519" i="1"/>
  <c r="E519" i="1" s="1"/>
  <c r="B518" i="1"/>
  <c r="E518" i="1" s="1"/>
  <c r="E517" i="1"/>
  <c r="E516" i="1"/>
  <c r="E515" i="1"/>
  <c r="E514" i="1"/>
  <c r="E513" i="1"/>
  <c r="E512" i="1"/>
  <c r="E511" i="1"/>
  <c r="E510" i="1"/>
  <c r="E509" i="1"/>
  <c r="E508" i="1"/>
  <c r="E507" i="1"/>
  <c r="E506" i="1"/>
  <c r="E505" i="1"/>
  <c r="D505" i="1"/>
  <c r="B504" i="1"/>
  <c r="E504" i="1" s="1"/>
  <c r="B503" i="1"/>
  <c r="G503" i="1" s="1"/>
  <c r="G458" i="1" s="1"/>
  <c r="E502" i="1"/>
  <c r="E501" i="1"/>
  <c r="E500" i="1"/>
  <c r="E499" i="1"/>
  <c r="E498" i="1"/>
  <c r="E497" i="1"/>
  <c r="E496" i="1"/>
  <c r="F495" i="1"/>
  <c r="E495" i="1" s="1"/>
  <c r="D495" i="1"/>
  <c r="F494" i="1"/>
  <c r="E494" i="1" s="1"/>
  <c r="D494" i="1"/>
  <c r="E493" i="1"/>
  <c r="E492" i="1"/>
  <c r="E491" i="1"/>
  <c r="E490" i="1"/>
  <c r="E489" i="1"/>
  <c r="E488" i="1"/>
  <c r="E487" i="1"/>
  <c r="E486" i="1"/>
  <c r="D486" i="1"/>
  <c r="E485" i="1"/>
  <c r="E484" i="1"/>
  <c r="E483" i="1"/>
  <c r="E482" i="1"/>
  <c r="E481" i="1"/>
  <c r="F480" i="1"/>
  <c r="E480" i="1" s="1"/>
  <c r="D480" i="1"/>
  <c r="E479" i="1"/>
  <c r="E478" i="1"/>
  <c r="E477" i="1"/>
  <c r="E476" i="1"/>
  <c r="E475" i="1"/>
  <c r="E474" i="1"/>
  <c r="E473" i="1"/>
  <c r="E472" i="1"/>
  <c r="E471" i="1"/>
  <c r="E470" i="1"/>
  <c r="E469" i="1"/>
  <c r="E468" i="1"/>
  <c r="E467" i="1"/>
  <c r="E466" i="1"/>
  <c r="E465" i="1"/>
  <c r="E464" i="1"/>
  <c r="E463" i="1"/>
  <c r="E462" i="1"/>
  <c r="E461" i="1"/>
  <c r="E460" i="1"/>
  <c r="E459" i="1"/>
  <c r="G455" i="1"/>
  <c r="E455" i="1"/>
  <c r="E454" i="1"/>
  <c r="E453" i="1"/>
  <c r="D452" i="1"/>
  <c r="B452" i="1"/>
  <c r="B441" i="1" s="1"/>
  <c r="B440" i="1" s="1"/>
  <c r="B439" i="1" s="1"/>
  <c r="E451" i="1"/>
  <c r="G450" i="1"/>
  <c r="E450" i="1"/>
  <c r="E449" i="1"/>
  <c r="E448" i="1"/>
  <c r="E447" i="1"/>
  <c r="E446" i="1"/>
  <c r="E445" i="1"/>
  <c r="G444" i="1"/>
  <c r="E444" i="1"/>
  <c r="E443" i="1"/>
  <c r="E442" i="1"/>
  <c r="F441" i="1"/>
  <c r="F440" i="1" s="1"/>
  <c r="F439" i="1" s="1"/>
  <c r="F438" i="1"/>
  <c r="G438" i="1" s="1"/>
  <c r="G436" i="1" s="1"/>
  <c r="F437" i="1"/>
  <c r="D437" i="1"/>
  <c r="B436" i="1"/>
  <c r="E435" i="1"/>
  <c r="G434" i="1"/>
  <c r="E434" i="1"/>
  <c r="E433" i="1"/>
  <c r="E432" i="1"/>
  <c r="G431" i="1"/>
  <c r="E431" i="1"/>
  <c r="E430" i="1"/>
  <c r="E429" i="1"/>
  <c r="E428" i="1"/>
  <c r="E427" i="1"/>
  <c r="G426" i="1"/>
  <c r="E426" i="1"/>
  <c r="E425" i="1"/>
  <c r="G424" i="1"/>
  <c r="E424" i="1"/>
  <c r="E423" i="1"/>
  <c r="E422" i="1"/>
  <c r="E421" i="1"/>
  <c r="E420" i="1"/>
  <c r="E419" i="1"/>
  <c r="E418" i="1"/>
  <c r="E417" i="1"/>
  <c r="F416" i="1"/>
  <c r="D416" i="1" s="1"/>
  <c r="B416" i="1"/>
  <c r="B400" i="1" s="1"/>
  <c r="F415" i="1"/>
  <c r="E415" i="1" s="1"/>
  <c r="E414" i="1"/>
  <c r="D414" i="1"/>
  <c r="F413" i="1"/>
  <c r="E413" i="1" s="1"/>
  <c r="F412" i="1"/>
  <c r="E412" i="1" s="1"/>
  <c r="F411" i="1"/>
  <c r="E411" i="1" s="1"/>
  <c r="E410" i="1"/>
  <c r="E409" i="1"/>
  <c r="E408" i="1"/>
  <c r="G407" i="1"/>
  <c r="E407" i="1"/>
  <c r="E406" i="1"/>
  <c r="E405" i="1"/>
  <c r="E404" i="1"/>
  <c r="E403" i="1"/>
  <c r="G402" i="1"/>
  <c r="E402" i="1"/>
  <c r="F401" i="1"/>
  <c r="E401" i="1" s="1"/>
  <c r="F399" i="1"/>
  <c r="D399" i="1" s="1"/>
  <c r="B399" i="1"/>
  <c r="G398" i="1"/>
  <c r="G397" i="1" s="1"/>
  <c r="E398" i="1"/>
  <c r="E396" i="1"/>
  <c r="E395" i="1" s="1"/>
  <c r="D396" i="1"/>
  <c r="G395" i="1"/>
  <c r="F395" i="1"/>
  <c r="B395" i="1"/>
  <c r="E392" i="1"/>
  <c r="E391" i="1"/>
  <c r="E390" i="1"/>
  <c r="E389" i="1"/>
  <c r="E388" i="1"/>
  <c r="E387" i="1"/>
  <c r="E386" i="1"/>
  <c r="E385" i="1"/>
  <c r="E384" i="1"/>
  <c r="E383" i="1"/>
  <c r="E382" i="1"/>
  <c r="E381" i="1"/>
  <c r="E380" i="1"/>
  <c r="E379" i="1"/>
  <c r="E378" i="1"/>
  <c r="E377" i="1"/>
  <c r="E376" i="1"/>
  <c r="E375" i="1"/>
  <c r="E374" i="1"/>
  <c r="E373" i="1"/>
  <c r="E372" i="1"/>
  <c r="E371" i="1"/>
  <c r="E370" i="1"/>
  <c r="E369" i="1"/>
  <c r="E368" i="1"/>
  <c r="E367" i="1"/>
  <c r="E366" i="1"/>
  <c r="E365" i="1"/>
  <c r="E364" i="1"/>
  <c r="E363" i="1"/>
  <c r="E362" i="1"/>
  <c r="E361" i="1"/>
  <c r="F360" i="1"/>
  <c r="D360" i="1" s="1"/>
  <c r="B360" i="1"/>
  <c r="E359" i="1"/>
  <c r="E358" i="1"/>
  <c r="E357" i="1"/>
  <c r="E356" i="1"/>
  <c r="E355" i="1"/>
  <c r="E354" i="1"/>
  <c r="E353" i="1"/>
  <c r="E352" i="1"/>
  <c r="E351" i="1"/>
  <c r="E350" i="1"/>
  <c r="E349" i="1"/>
  <c r="E348" i="1"/>
  <c r="E347" i="1"/>
  <c r="E346" i="1"/>
  <c r="E345" i="1"/>
  <c r="E344" i="1"/>
  <c r="E343" i="1"/>
  <c r="E342" i="1"/>
  <c r="E341" i="1"/>
  <c r="E340" i="1"/>
  <c r="E339" i="1"/>
  <c r="E338" i="1"/>
  <c r="E337" i="1"/>
  <c r="E336" i="1"/>
  <c r="E335" i="1"/>
  <c r="E334" i="1"/>
  <c r="E333" i="1"/>
  <c r="E332" i="1"/>
  <c r="E331" i="1"/>
  <c r="E330" i="1"/>
  <c r="B329" i="1"/>
  <c r="E328" i="1"/>
  <c r="E327" i="1"/>
  <c r="E326" i="1"/>
  <c r="E325" i="1"/>
  <c r="F324" i="1"/>
  <c r="E324" i="1" s="1"/>
  <c r="E323" i="1"/>
  <c r="E322" i="1"/>
  <c r="E321" i="1"/>
  <c r="E320" i="1"/>
  <c r="E319" i="1"/>
  <c r="E318" i="1"/>
  <c r="E317" i="1"/>
  <c r="E316" i="1"/>
  <c r="E315" i="1"/>
  <c r="E314" i="1"/>
  <c r="E313" i="1"/>
  <c r="E312" i="1"/>
  <c r="E311" i="1"/>
  <c r="E310" i="1"/>
  <c r="E309" i="1"/>
  <c r="D305" i="1"/>
  <c r="B305" i="1"/>
  <c r="E305" i="1" s="1"/>
  <c r="E304" i="1"/>
  <c r="G303" i="1"/>
  <c r="F303" i="1"/>
  <c r="F302" i="1"/>
  <c r="D302" i="1" s="1"/>
  <c r="B302" i="1"/>
  <c r="F301" i="1"/>
  <c r="D301" i="1"/>
  <c r="B301" i="1"/>
  <c r="B300" i="1"/>
  <c r="E300" i="1" s="1"/>
  <c r="F299" i="1"/>
  <c r="E299" i="1" s="1"/>
  <c r="B298" i="1"/>
  <c r="F297" i="1"/>
  <c r="E297" i="1" s="1"/>
  <c r="F296" i="1"/>
  <c r="B296" i="1"/>
  <c r="F295" i="1"/>
  <c r="E295" i="1" s="1"/>
  <c r="F294" i="1"/>
  <c r="E294" i="1" s="1"/>
  <c r="F293" i="1"/>
  <c r="E293" i="1" s="1"/>
  <c r="G292" i="1"/>
  <c r="E292" i="1"/>
  <c r="F291" i="1"/>
  <c r="E291" i="1" s="1"/>
  <c r="F290" i="1"/>
  <c r="E290" i="1" s="1"/>
  <c r="F289" i="1"/>
  <c r="E289" i="1" s="1"/>
  <c r="F288" i="1"/>
  <c r="E288" i="1" s="1"/>
  <c r="F287" i="1"/>
  <c r="E287" i="1" s="1"/>
  <c r="F286" i="1"/>
  <c r="E286" i="1" s="1"/>
  <c r="F284" i="1"/>
  <c r="B284" i="1"/>
  <c r="F283" i="1"/>
  <c r="E283" i="1" s="1"/>
  <c r="E282" i="1"/>
  <c r="E281" i="1"/>
  <c r="E280" i="1"/>
  <c r="G279" i="1"/>
  <c r="B279" i="1"/>
  <c r="E276" i="1"/>
  <c r="E275" i="1" s="1"/>
  <c r="D276" i="1"/>
  <c r="G275" i="1"/>
  <c r="F275" i="1"/>
  <c r="B275" i="1"/>
  <c r="E274" i="1"/>
  <c r="E273" i="1"/>
  <c r="E272" i="1"/>
  <c r="E271" i="1"/>
  <c r="F270" i="1"/>
  <c r="D270" i="1" s="1"/>
  <c r="B270" i="1"/>
  <c r="F269" i="1"/>
  <c r="E269" i="1" s="1"/>
  <c r="D269" i="1"/>
  <c r="F268" i="1"/>
  <c r="E268" i="1" s="1"/>
  <c r="F267" i="1"/>
  <c r="E267" i="1" s="1"/>
  <c r="F266" i="1"/>
  <c r="E266" i="1" s="1"/>
  <c r="F265" i="1"/>
  <c r="E265" i="1" s="1"/>
  <c r="G264" i="1"/>
  <c r="G263" i="1" s="1"/>
  <c r="G262" i="1" s="1"/>
  <c r="E261" i="1"/>
  <c r="D260" i="1"/>
  <c r="B260" i="1"/>
  <c r="E260" i="1" s="1"/>
  <c r="E259" i="1"/>
  <c r="G258" i="1"/>
  <c r="E258" i="1"/>
  <c r="E257" i="1"/>
  <c r="E256" i="1"/>
  <c r="E255" i="1"/>
  <c r="E254" i="1"/>
  <c r="E253" i="1"/>
  <c r="E252" i="1"/>
  <c r="E251" i="1"/>
  <c r="F250" i="1"/>
  <c r="F249" i="1"/>
  <c r="D249" i="1" s="1"/>
  <c r="B249" i="1"/>
  <c r="E248" i="1"/>
  <c r="E247" i="1"/>
  <c r="E246" i="1"/>
  <c r="E245" i="1"/>
  <c r="E244" i="1"/>
  <c r="E243" i="1"/>
  <c r="F241" i="1"/>
  <c r="D241" i="1" s="1"/>
  <c r="B241" i="1"/>
  <c r="B234" i="1" s="1"/>
  <c r="F240" i="1"/>
  <c r="E240" i="1" s="1"/>
  <c r="G239" i="1"/>
  <c r="E239" i="1"/>
  <c r="F238" i="1"/>
  <c r="G237" i="1"/>
  <c r="E237" i="1"/>
  <c r="E236" i="1"/>
  <c r="E235" i="1"/>
  <c r="E233" i="1"/>
  <c r="D233" i="1"/>
  <c r="F232" i="1"/>
  <c r="D232" i="1" s="1"/>
  <c r="B232" i="1"/>
  <c r="G231" i="1"/>
  <c r="E231" i="1"/>
  <c r="D231" i="1"/>
  <c r="E230" i="1"/>
  <c r="D226" i="1"/>
  <c r="B226" i="1"/>
  <c r="G226" i="1" s="1"/>
  <c r="E225" i="1"/>
  <c r="E224" i="1"/>
  <c r="E223" i="1"/>
  <c r="E222" i="1"/>
  <c r="E221" i="1"/>
  <c r="E220" i="1"/>
  <c r="E219" i="1"/>
  <c r="F218" i="1"/>
  <c r="D217" i="1"/>
  <c r="B217" i="1"/>
  <c r="G217" i="1" s="1"/>
  <c r="D216" i="1"/>
  <c r="B216" i="1"/>
  <c r="E216" i="1" s="1"/>
  <c r="D215" i="1"/>
  <c r="B215" i="1"/>
  <c r="G215" i="1" s="1"/>
  <c r="D214" i="1"/>
  <c r="B214" i="1"/>
  <c r="G214" i="1" s="1"/>
  <c r="D213" i="1"/>
  <c r="B213" i="1"/>
  <c r="G213" i="1" s="1"/>
  <c r="F212" i="1"/>
  <c r="B212" i="1"/>
  <c r="G211" i="1"/>
  <c r="E211" i="1"/>
  <c r="D211" i="1"/>
  <c r="D210" i="1"/>
  <c r="B210" i="1"/>
  <c r="E210" i="1" s="1"/>
  <c r="D209" i="1"/>
  <c r="B209" i="1"/>
  <c r="D208" i="1"/>
  <c r="B208" i="1"/>
  <c r="G208" i="1" s="1"/>
  <c r="E207" i="1"/>
  <c r="D207" i="1"/>
  <c r="B205" i="1"/>
  <c r="E204" i="1"/>
  <c r="E203" i="1"/>
  <c r="E202" i="1"/>
  <c r="E201" i="1"/>
  <c r="E200" i="1"/>
  <c r="E199" i="1"/>
  <c r="E198" i="1"/>
  <c r="E197" i="1"/>
  <c r="E196" i="1"/>
  <c r="E195" i="1"/>
  <c r="E194" i="1"/>
  <c r="E193" i="1"/>
  <c r="B192" i="1"/>
  <c r="E192" i="1" s="1"/>
  <c r="B191" i="1"/>
  <c r="E191" i="1" s="1"/>
  <c r="E190" i="1"/>
  <c r="E189" i="1"/>
  <c r="F188" i="1"/>
  <c r="D187" i="1"/>
  <c r="B187" i="1"/>
  <c r="G187" i="1" s="1"/>
  <c r="G169" i="1" s="1"/>
  <c r="E186" i="1"/>
  <c r="E185" i="1"/>
  <c r="E184" i="1"/>
  <c r="E183" i="1"/>
  <c r="E182" i="1"/>
  <c r="E181" i="1"/>
  <c r="E180" i="1"/>
  <c r="E179" i="1"/>
  <c r="E178" i="1"/>
  <c r="E177" i="1"/>
  <c r="E176" i="1"/>
  <c r="E175" i="1"/>
  <c r="E174" i="1"/>
  <c r="E173" i="1"/>
  <c r="E172" i="1"/>
  <c r="E171" i="1"/>
  <c r="E170" i="1"/>
  <c r="F169" i="1"/>
  <c r="G167" i="1"/>
  <c r="E166" i="1"/>
  <c r="G165" i="1"/>
  <c r="E165" i="1"/>
  <c r="E164" i="1"/>
  <c r="E163" i="1"/>
  <c r="E162" i="1"/>
  <c r="E161" i="1"/>
  <c r="E160" i="1"/>
  <c r="E159" i="1"/>
  <c r="G158" i="1"/>
  <c r="F158" i="1"/>
  <c r="B158" i="1"/>
  <c r="E157" i="1"/>
  <c r="E156" i="1" s="1"/>
  <c r="G156" i="1"/>
  <c r="F156" i="1"/>
  <c r="B156" i="1"/>
  <c r="B155" i="1"/>
  <c r="B147" i="1" s="1"/>
  <c r="F154" i="1"/>
  <c r="E154" i="1" s="1"/>
  <c r="F153" i="1"/>
  <c r="E153" i="1" s="1"/>
  <c r="F152" i="1"/>
  <c r="E152" i="1" s="1"/>
  <c r="F151" i="1"/>
  <c r="E151" i="1" s="1"/>
  <c r="F150" i="1"/>
  <c r="E150" i="1" s="1"/>
  <c r="F149" i="1"/>
  <c r="E149" i="1" s="1"/>
  <c r="F148" i="1"/>
  <c r="G147" i="1"/>
  <c r="E146" i="1"/>
  <c r="E145" i="1" s="1"/>
  <c r="D146" i="1"/>
  <c r="G145" i="1"/>
  <c r="F145" i="1"/>
  <c r="B145" i="1"/>
  <c r="E144" i="1"/>
  <c r="E143" i="1" s="1"/>
  <c r="D144" i="1"/>
  <c r="G143" i="1"/>
  <c r="F143" i="1"/>
  <c r="B143" i="1"/>
  <c r="E142" i="1"/>
  <c r="E141" i="1" s="1"/>
  <c r="D142" i="1"/>
  <c r="G141" i="1"/>
  <c r="F141" i="1"/>
  <c r="B141" i="1"/>
  <c r="E140" i="1"/>
  <c r="E139" i="1" s="1"/>
  <c r="D140" i="1"/>
  <c r="G139" i="1"/>
  <c r="F139" i="1"/>
  <c r="B139" i="1"/>
  <c r="E138" i="1"/>
  <c r="E137" i="1" s="1"/>
  <c r="D138" i="1"/>
  <c r="G137" i="1"/>
  <c r="F137" i="1"/>
  <c r="B137" i="1"/>
  <c r="E136" i="1"/>
  <c r="E135" i="1" s="1"/>
  <c r="D136" i="1"/>
  <c r="G135" i="1"/>
  <c r="F135" i="1"/>
  <c r="B135" i="1"/>
  <c r="F133" i="1"/>
  <c r="D133" i="1" s="1"/>
  <c r="B133" i="1"/>
  <c r="F132" i="1"/>
  <c r="E132" i="1" s="1"/>
  <c r="E130" i="1"/>
  <c r="E129" i="1" s="1"/>
  <c r="D130" i="1"/>
  <c r="G129" i="1"/>
  <c r="F129" i="1"/>
  <c r="B129" i="1"/>
  <c r="E128" i="1"/>
  <c r="E127" i="1" s="1"/>
  <c r="D128" i="1"/>
  <c r="G127" i="1"/>
  <c r="F127" i="1"/>
  <c r="B127" i="1"/>
  <c r="F125" i="1"/>
  <c r="F124" i="1" s="1"/>
  <c r="B125" i="1"/>
  <c r="G124" i="1"/>
  <c r="F123" i="1"/>
  <c r="D123" i="1" s="1"/>
  <c r="B123" i="1"/>
  <c r="B121" i="1" s="1"/>
  <c r="E122" i="1"/>
  <c r="G121" i="1"/>
  <c r="F120" i="1"/>
  <c r="F113" i="1" s="1"/>
  <c r="B120" i="1"/>
  <c r="E119" i="1"/>
  <c r="E118" i="1"/>
  <c r="E117" i="1"/>
  <c r="E116" i="1"/>
  <c r="E115" i="1"/>
  <c r="B114" i="1"/>
  <c r="E114" i="1" s="1"/>
  <c r="G113" i="1"/>
  <c r="E112" i="1"/>
  <c r="E111" i="1"/>
  <c r="G110" i="1"/>
  <c r="E110" i="1"/>
  <c r="D110" i="1"/>
  <c r="G109" i="1"/>
  <c r="F109" i="1"/>
  <c r="B109" i="1"/>
  <c r="F108" i="1"/>
  <c r="B108" i="1"/>
  <c r="B105" i="1" s="1"/>
  <c r="E107" i="1"/>
  <c r="E106" i="1"/>
  <c r="G105" i="1"/>
  <c r="G104" i="1"/>
  <c r="E104" i="1"/>
  <c r="D104" i="1"/>
  <c r="E103" i="1"/>
  <c r="E102" i="1"/>
  <c r="E101" i="1"/>
  <c r="G100" i="1"/>
  <c r="F100" i="1"/>
  <c r="B100" i="1"/>
  <c r="G98" i="1"/>
  <c r="E98" i="1"/>
  <c r="E97" i="1" s="1"/>
  <c r="F97" i="1"/>
  <c r="B97" i="1"/>
  <c r="E96" i="1"/>
  <c r="E95" i="1" s="1"/>
  <c r="D96" i="1"/>
  <c r="G95" i="1"/>
  <c r="F95" i="1"/>
  <c r="B95" i="1"/>
  <c r="E94" i="1"/>
  <c r="E93" i="1" s="1"/>
  <c r="D94" i="1"/>
  <c r="G93" i="1"/>
  <c r="F93" i="1"/>
  <c r="B93" i="1"/>
  <c r="E92" i="1"/>
  <c r="E91" i="1" s="1"/>
  <c r="D92" i="1"/>
  <c r="G91" i="1"/>
  <c r="F91" i="1"/>
  <c r="B91" i="1"/>
  <c r="E90" i="1"/>
  <c r="E89" i="1" s="1"/>
  <c r="D90" i="1"/>
  <c r="G89" i="1"/>
  <c r="F89" i="1"/>
  <c r="B89" i="1"/>
  <c r="E88" i="1"/>
  <c r="E87" i="1" s="1"/>
  <c r="D88" i="1"/>
  <c r="G87" i="1"/>
  <c r="F87" i="1"/>
  <c r="B87" i="1"/>
  <c r="D86" i="1"/>
  <c r="B86" i="1"/>
  <c r="G86" i="1" s="1"/>
  <c r="E85" i="1"/>
  <c r="E84" i="1"/>
  <c r="G83" i="1"/>
  <c r="F83" i="1"/>
  <c r="E82" i="1"/>
  <c r="E81" i="1" s="1"/>
  <c r="D82" i="1"/>
  <c r="G81" i="1"/>
  <c r="F81" i="1"/>
  <c r="B81" i="1"/>
  <c r="E80" i="1"/>
  <c r="E79" i="1" s="1"/>
  <c r="D80" i="1"/>
  <c r="G79" i="1"/>
  <c r="F79" i="1"/>
  <c r="B79" i="1"/>
  <c r="E78" i="1"/>
  <c r="E77" i="1" s="1"/>
  <c r="D78" i="1"/>
  <c r="G77" i="1"/>
  <c r="F77" i="1"/>
  <c r="B77" i="1"/>
  <c r="E75" i="1"/>
  <c r="E74" i="1" s="1"/>
  <c r="D75" i="1"/>
  <c r="G74" i="1"/>
  <c r="F74" i="1"/>
  <c r="B74" i="1"/>
  <c r="E73" i="1"/>
  <c r="E72" i="1" s="1"/>
  <c r="D73" i="1"/>
  <c r="G72" i="1"/>
  <c r="F72" i="1"/>
  <c r="B72" i="1"/>
  <c r="E71" i="1"/>
  <c r="E70" i="1" s="1"/>
  <c r="D71" i="1"/>
  <c r="G70" i="1"/>
  <c r="F70" i="1"/>
  <c r="B70" i="1"/>
  <c r="E69" i="1"/>
  <c r="E68" i="1" s="1"/>
  <c r="D69" i="1"/>
  <c r="G68" i="1"/>
  <c r="F68" i="1"/>
  <c r="B68" i="1"/>
  <c r="E67" i="1"/>
  <c r="E66" i="1" s="1"/>
  <c r="D67" i="1"/>
  <c r="G66" i="1"/>
  <c r="F66" i="1"/>
  <c r="B66" i="1"/>
  <c r="E65" i="1"/>
  <c r="E64" i="1" s="1"/>
  <c r="D65" i="1"/>
  <c r="G64" i="1"/>
  <c r="F64" i="1"/>
  <c r="B64" i="1"/>
  <c r="E63" i="1"/>
  <c r="E62" i="1" s="1"/>
  <c r="D63" i="1"/>
  <c r="G62" i="1"/>
  <c r="F62" i="1"/>
  <c r="B62" i="1"/>
  <c r="F61" i="1"/>
  <c r="F60" i="1" s="1"/>
  <c r="G60" i="1"/>
  <c r="B60" i="1"/>
  <c r="E59" i="1"/>
  <c r="E58" i="1" s="1"/>
  <c r="D59" i="1"/>
  <c r="G58" i="1"/>
  <c r="F58" i="1"/>
  <c r="B58" i="1"/>
  <c r="E57" i="1"/>
  <c r="E56" i="1" s="1"/>
  <c r="D57" i="1"/>
  <c r="G56" i="1"/>
  <c r="F56" i="1"/>
  <c r="B56" i="1"/>
  <c r="F55" i="1"/>
  <c r="E55" i="1" s="1"/>
  <c r="E54" i="1" s="1"/>
  <c r="G54" i="1"/>
  <c r="B54" i="1"/>
  <c r="E52" i="1"/>
  <c r="E51" i="1" s="1"/>
  <c r="D52" i="1"/>
  <c r="G51" i="1"/>
  <c r="F51" i="1"/>
  <c r="B51" i="1"/>
  <c r="E50" i="1"/>
  <c r="E49" i="1" s="1"/>
  <c r="D50" i="1"/>
  <c r="G49" i="1"/>
  <c r="F49" i="1"/>
  <c r="B49" i="1"/>
  <c r="E48" i="1"/>
  <c r="E47" i="1" s="1"/>
  <c r="D48" i="1"/>
  <c r="G47" i="1"/>
  <c r="F47" i="1"/>
  <c r="B47" i="1"/>
  <c r="E46" i="1"/>
  <c r="E45" i="1" s="1"/>
  <c r="D46" i="1"/>
  <c r="G45" i="1"/>
  <c r="F45" i="1"/>
  <c r="B45" i="1"/>
  <c r="E43" i="1"/>
  <c r="E42" i="1" s="1"/>
  <c r="D43" i="1"/>
  <c r="G42" i="1"/>
  <c r="F42" i="1"/>
  <c r="B42" i="1"/>
  <c r="E41" i="1"/>
  <c r="E40" i="1" s="1"/>
  <c r="D41" i="1"/>
  <c r="G40" i="1"/>
  <c r="F40" i="1"/>
  <c r="B40" i="1"/>
  <c r="E39" i="1"/>
  <c r="E38" i="1" s="1"/>
  <c r="D39" i="1"/>
  <c r="G38" i="1"/>
  <c r="F38" i="1"/>
  <c r="B38" i="1"/>
  <c r="E37" i="1"/>
  <c r="E36" i="1" s="1"/>
  <c r="D37" i="1"/>
  <c r="G36" i="1"/>
  <c r="F36" i="1"/>
  <c r="B36" i="1"/>
  <c r="E35" i="1"/>
  <c r="E34" i="1" s="1"/>
  <c r="D35" i="1"/>
  <c r="G34" i="1"/>
  <c r="F34" i="1"/>
  <c r="B34" i="1"/>
  <c r="E33" i="1"/>
  <c r="E32" i="1" s="1"/>
  <c r="D33" i="1"/>
  <c r="G32" i="1"/>
  <c r="F32" i="1"/>
  <c r="B32" i="1"/>
  <c r="E31" i="1"/>
  <c r="E30" i="1" s="1"/>
  <c r="D31" i="1"/>
  <c r="G30" i="1"/>
  <c r="F30" i="1"/>
  <c r="B30" i="1"/>
  <c r="E28" i="1"/>
  <c r="E27" i="1" s="1"/>
  <c r="D28" i="1"/>
  <c r="G27" i="1"/>
  <c r="F27" i="1"/>
  <c r="B27" i="1"/>
  <c r="E26" i="1"/>
  <c r="E25" i="1" s="1"/>
  <c r="D26" i="1"/>
  <c r="G25" i="1"/>
  <c r="F25" i="1"/>
  <c r="B25" i="1"/>
  <c r="E24" i="1"/>
  <c r="E23" i="1" s="1"/>
  <c r="D24" i="1"/>
  <c r="G23" i="1"/>
  <c r="F23" i="1"/>
  <c r="B23" i="1"/>
  <c r="E22" i="1"/>
  <c r="E21" i="1" s="1"/>
  <c r="D22" i="1"/>
  <c r="G21" i="1"/>
  <c r="F21" i="1"/>
  <c r="B21" i="1"/>
  <c r="E20" i="1"/>
  <c r="E19" i="1" s="1"/>
  <c r="D20" i="1"/>
  <c r="G19" i="1"/>
  <c r="F19" i="1"/>
  <c r="B19" i="1"/>
  <c r="E18" i="1"/>
  <c r="E17" i="1" s="1"/>
  <c r="D18" i="1"/>
  <c r="G17" i="1"/>
  <c r="F17" i="1"/>
  <c r="B17" i="1"/>
  <c r="E16" i="1"/>
  <c r="E15" i="1" s="1"/>
  <c r="D16" i="1"/>
  <c r="G15" i="1"/>
  <c r="F15" i="1"/>
  <c r="B15" i="1"/>
  <c r="E13" i="1"/>
  <c r="E12" i="1" s="1"/>
  <c r="D13" i="1"/>
  <c r="G12" i="1"/>
  <c r="F12" i="1"/>
  <c r="B12" i="1"/>
  <c r="E11" i="1"/>
  <c r="E10" i="1" s="1"/>
  <c r="D11" i="1"/>
  <c r="G10" i="1"/>
  <c r="F10" i="1"/>
  <c r="B10" i="1"/>
  <c r="B9" i="1" s="1"/>
  <c r="D125" i="1" l="1"/>
  <c r="D1125" i="1"/>
  <c r="D132" i="1"/>
  <c r="E995" i="1"/>
  <c r="E125" i="1"/>
  <c r="E124" i="1" s="1"/>
  <c r="E1144" i="1"/>
  <c r="E1143" i="1" s="1"/>
  <c r="G210" i="1"/>
  <c r="E215" i="1"/>
  <c r="E1146" i="1"/>
  <c r="E1145" i="1" s="1"/>
  <c r="E208" i="1"/>
  <c r="F229" i="1"/>
  <c r="F436" i="1"/>
  <c r="G532" i="1"/>
  <c r="F242" i="1"/>
  <c r="B1142" i="1"/>
  <c r="D61" i="1"/>
  <c r="G9" i="1"/>
  <c r="E61" i="1"/>
  <c r="E60" i="1" s="1"/>
  <c r="E53" i="1" s="1"/>
  <c r="G97" i="1"/>
  <c r="E360" i="1"/>
  <c r="G1191" i="1"/>
  <c r="B1192" i="1"/>
  <c r="B14" i="1"/>
  <c r="E100" i="1"/>
  <c r="B285" i="1"/>
  <c r="E302" i="1"/>
  <c r="G1135" i="1"/>
  <c r="G284" i="1"/>
  <c r="G293" i="1"/>
  <c r="F1123" i="1"/>
  <c r="G1142" i="1"/>
  <c r="D55" i="1"/>
  <c r="E123" i="1"/>
  <c r="E121" i="1" s="1"/>
  <c r="E249" i="1"/>
  <c r="E242" i="1" s="1"/>
  <c r="G296" i="1"/>
  <c r="E437" i="1"/>
  <c r="G1076" i="1"/>
  <c r="E1125" i="1"/>
  <c r="E1123" i="1" s="1"/>
  <c r="G1130" i="1"/>
  <c r="F1142" i="1"/>
  <c r="E120" i="1"/>
  <c r="E113" i="1" s="1"/>
  <c r="D284" i="1"/>
  <c r="F44" i="1"/>
  <c r="F9" i="1"/>
  <c r="G44" i="1"/>
  <c r="B53" i="1"/>
  <c r="G108" i="1"/>
  <c r="G126" i="1"/>
  <c r="G976" i="1"/>
  <c r="F54" i="1"/>
  <c r="F53" i="1" s="1"/>
  <c r="G212" i="1"/>
  <c r="F397" i="1"/>
  <c r="G399" i="1"/>
  <c r="G995" i="1"/>
  <c r="E1178" i="1"/>
  <c r="F131" i="1"/>
  <c r="F126" i="1" s="1"/>
  <c r="G302" i="1"/>
  <c r="F1134" i="1"/>
  <c r="F1130" i="1" s="1"/>
  <c r="G1195" i="1"/>
  <c r="F14" i="1"/>
  <c r="G53" i="1"/>
  <c r="F264" i="1"/>
  <c r="F263" i="1" s="1"/>
  <c r="F262" i="1" s="1"/>
  <c r="F279" i="1"/>
  <c r="E301" i="1"/>
  <c r="F308" i="1"/>
  <c r="F307" i="1" s="1"/>
  <c r="F306" i="1" s="1"/>
  <c r="F954" i="1"/>
  <c r="F1189" i="1"/>
  <c r="F1192" i="1"/>
  <c r="G14" i="1"/>
  <c r="B44" i="1"/>
  <c r="F147" i="1"/>
  <c r="F134" i="1" s="1"/>
  <c r="G295" i="1"/>
  <c r="E1135" i="1"/>
  <c r="E1134" i="1" s="1"/>
  <c r="E438" i="1"/>
  <c r="D1127" i="1"/>
  <c r="D1135" i="1"/>
  <c r="B1160" i="1"/>
  <c r="B1155" i="1" s="1"/>
  <c r="G29" i="1"/>
  <c r="F29" i="1"/>
  <c r="E296" i="1"/>
  <c r="B308" i="1"/>
  <c r="B307" i="1" s="1"/>
  <c r="B306" i="1" s="1"/>
  <c r="E1127" i="1"/>
  <c r="E1126" i="1" s="1"/>
  <c r="E1191" i="1"/>
  <c r="E1189" i="1" s="1"/>
  <c r="E9" i="1"/>
  <c r="E44" i="1"/>
  <c r="E14" i="1"/>
  <c r="F76" i="1"/>
  <c r="D120" i="1"/>
  <c r="E148" i="1"/>
  <c r="E155" i="1"/>
  <c r="E232" i="1"/>
  <c r="E229" i="1" s="1"/>
  <c r="E284" i="1"/>
  <c r="E279" i="1" s="1"/>
  <c r="E329" i="1"/>
  <c r="E1003" i="1"/>
  <c r="G1119" i="1"/>
  <c r="B1134" i="1"/>
  <c r="D1144" i="1"/>
  <c r="D1146" i="1"/>
  <c r="D1178" i="1"/>
  <c r="D1191" i="1"/>
  <c r="G76" i="1"/>
  <c r="G99" i="1"/>
  <c r="G155" i="1"/>
  <c r="E217" i="1"/>
  <c r="G260" i="1"/>
  <c r="G250" i="1" s="1"/>
  <c r="G1182" i="1"/>
  <c r="B1189" i="1"/>
  <c r="E1192" i="1"/>
  <c r="B83" i="1"/>
  <c r="B76" i="1" s="1"/>
  <c r="B113" i="1"/>
  <c r="B134" i="1"/>
  <c r="E250" i="1"/>
  <c r="E399" i="1"/>
  <c r="E397" i="1" s="1"/>
  <c r="E503" i="1"/>
  <c r="E458" i="1" s="1"/>
  <c r="G936" i="1"/>
  <c r="G1178" i="1"/>
  <c r="G1160" i="1" s="1"/>
  <c r="G1155" i="1" s="1"/>
  <c r="B29" i="1"/>
  <c r="E86" i="1"/>
  <c r="E83" i="1" s="1"/>
  <c r="E76" i="1" s="1"/>
  <c r="F105" i="1"/>
  <c r="D108" i="1"/>
  <c r="G123" i="1"/>
  <c r="B188" i="1"/>
  <c r="G234" i="1"/>
  <c r="E270" i="1"/>
  <c r="E264" i="1" s="1"/>
  <c r="E263" i="1" s="1"/>
  <c r="E262" i="1" s="1"/>
  <c r="E298" i="1"/>
  <c r="B397" i="1"/>
  <c r="B394" i="1" s="1"/>
  <c r="B393" i="1" s="1"/>
  <c r="B532" i="1"/>
  <c r="E719" i="1"/>
  <c r="E532" i="1" s="1"/>
  <c r="F1003" i="1"/>
  <c r="B1119" i="1"/>
  <c r="E1131" i="1"/>
  <c r="B250" i="1"/>
  <c r="E108" i="1"/>
  <c r="E105" i="1" s="1"/>
  <c r="E109" i="1"/>
  <c r="E133" i="1"/>
  <c r="E131" i="1" s="1"/>
  <c r="E126" i="1" s="1"/>
  <c r="G134" i="1"/>
  <c r="E158" i="1"/>
  <c r="G241" i="1"/>
  <c r="G249" i="1"/>
  <c r="G242" i="1" s="1"/>
  <c r="G360" i="1"/>
  <c r="G308" i="1" s="1"/>
  <c r="G307" i="1" s="1"/>
  <c r="G306" i="1" s="1"/>
  <c r="B1149" i="1"/>
  <c r="B1180" i="1"/>
  <c r="G1180" i="1" s="1"/>
  <c r="G1179" i="1" s="1"/>
  <c r="E1187" i="1"/>
  <c r="E1185" i="1" s="1"/>
  <c r="E29" i="1"/>
  <c r="F121" i="1"/>
  <c r="E187" i="1"/>
  <c r="E169" i="1" s="1"/>
  <c r="E205" i="1"/>
  <c r="E188" i="1" s="1"/>
  <c r="E214" i="1"/>
  <c r="B124" i="1"/>
  <c r="B131" i="1"/>
  <c r="G133" i="1"/>
  <c r="E213" i="1"/>
  <c r="G216" i="1"/>
  <c r="G120" i="1"/>
  <c r="G132" i="1"/>
  <c r="F206" i="1"/>
  <c r="F168" i="1" s="1"/>
  <c r="F167" i="1" s="1"/>
  <c r="D212" i="1"/>
  <c r="B229" i="1"/>
  <c r="G232" i="1"/>
  <c r="G229" i="1" s="1"/>
  <c r="B242" i="1"/>
  <c r="G305" i="1"/>
  <c r="G416" i="1"/>
  <c r="G400" i="1" s="1"/>
  <c r="G394" i="1" s="1"/>
  <c r="G393" i="1" s="1"/>
  <c r="G452" i="1"/>
  <c r="G441" i="1" s="1"/>
  <c r="G440" i="1" s="1"/>
  <c r="G439" i="1" s="1"/>
  <c r="B458" i="1"/>
  <c r="G951" i="1"/>
  <c r="E951" i="1"/>
  <c r="E1154" i="1"/>
  <c r="E1152" i="1" s="1"/>
  <c r="E1149" i="1" s="1"/>
  <c r="E212" i="1"/>
  <c r="B264" i="1"/>
  <c r="B263" i="1" s="1"/>
  <c r="B262" i="1" s="1"/>
  <c r="E303" i="1"/>
  <c r="F458" i="1"/>
  <c r="G973" i="1"/>
  <c r="G954" i="1" s="1"/>
  <c r="E973" i="1"/>
  <c r="E954" i="1" s="1"/>
  <c r="B954" i="1"/>
  <c r="E978" i="1"/>
  <c r="E976" i="1" s="1"/>
  <c r="B976" i="1"/>
  <c r="F1152" i="1"/>
  <c r="F1149" i="1" s="1"/>
  <c r="D1154" i="1"/>
  <c r="G1154" i="1"/>
  <c r="G1152" i="1" s="1"/>
  <c r="G1149" i="1" s="1"/>
  <c r="E937" i="1"/>
  <c r="B936" i="1"/>
  <c r="F1185" i="1"/>
  <c r="D1187" i="1"/>
  <c r="G1187" i="1"/>
  <c r="E209" i="1"/>
  <c r="B206" i="1"/>
  <c r="F285" i="1"/>
  <c r="F532" i="1"/>
  <c r="B169" i="1"/>
  <c r="G205" i="1"/>
  <c r="G188" i="1" s="1"/>
  <c r="B218" i="1"/>
  <c r="E226" i="1"/>
  <c r="E218" i="1" s="1"/>
  <c r="E238" i="1"/>
  <c r="F234" i="1"/>
  <c r="F228" i="1" s="1"/>
  <c r="F227" i="1" s="1"/>
  <c r="E241" i="1"/>
  <c r="G270" i="1"/>
  <c r="G294" i="1"/>
  <c r="B303" i="1"/>
  <c r="B278" i="1" s="1"/>
  <c r="B277" i="1" s="1"/>
  <c r="F400" i="1"/>
  <c r="E416" i="1"/>
  <c r="E400" i="1" s="1"/>
  <c r="E1122" i="1"/>
  <c r="E1120" i="1" s="1"/>
  <c r="D1122" i="1"/>
  <c r="G1122" i="1"/>
  <c r="F1120" i="1"/>
  <c r="E1157" i="1"/>
  <c r="E1156" i="1" s="1"/>
  <c r="D1157" i="1"/>
  <c r="F1156" i="1"/>
  <c r="F1155" i="1" s="1"/>
  <c r="G1157" i="1"/>
  <c r="E452" i="1"/>
  <c r="E441" i="1" s="1"/>
  <c r="E440" i="1" s="1"/>
  <c r="E439" i="1" s="1"/>
  <c r="F976" i="1"/>
  <c r="B1003" i="1"/>
  <c r="D1016" i="1"/>
  <c r="E1169" i="1"/>
  <c r="E1181" i="1"/>
  <c r="E1180" i="1" s="1"/>
  <c r="G1193" i="1"/>
  <c r="E308" i="1" l="1"/>
  <c r="E307" i="1" s="1"/>
  <c r="E306" i="1" s="1"/>
  <c r="E1142" i="1"/>
  <c r="E436" i="1"/>
  <c r="G206" i="1"/>
  <c r="F1119" i="1"/>
  <c r="F1118" i="1" s="1"/>
  <c r="E1160" i="1"/>
  <c r="E1155" i="1" s="1"/>
  <c r="F394" i="1"/>
  <c r="F393" i="1" s="1"/>
  <c r="E99" i="1"/>
  <c r="G1192" i="1"/>
  <c r="G1148" i="1" s="1"/>
  <c r="F278" i="1"/>
  <c r="F277" i="1" s="1"/>
  <c r="G1118" i="1"/>
  <c r="E1130" i="1"/>
  <c r="G285" i="1"/>
  <c r="G278" i="1" s="1"/>
  <c r="G277" i="1" s="1"/>
  <c r="E206" i="1"/>
  <c r="E168" i="1" s="1"/>
  <c r="E167" i="1" s="1"/>
  <c r="G8" i="1"/>
  <c r="F1179" i="1"/>
  <c r="F1148" i="1" s="1"/>
  <c r="G457" i="1"/>
  <c r="G456" i="1" s="1"/>
  <c r="B99" i="1"/>
  <c r="E285" i="1"/>
  <c r="E278" i="1" s="1"/>
  <c r="E277" i="1" s="1"/>
  <c r="B1179" i="1"/>
  <c r="B1148" i="1" s="1"/>
  <c r="E1119" i="1"/>
  <c r="G228" i="1"/>
  <c r="G227" i="1" s="1"/>
  <c r="E234" i="1"/>
  <c r="E228" i="1" s="1"/>
  <c r="E227" i="1" s="1"/>
  <c r="E1179" i="1"/>
  <c r="F99" i="1"/>
  <c r="F8" i="1" s="1"/>
  <c r="B168" i="1"/>
  <c r="B167" i="1" s="1"/>
  <c r="E394" i="1"/>
  <c r="E393" i="1" s="1"/>
  <c r="E936" i="1"/>
  <c r="B1130" i="1"/>
  <c r="B1118" i="1" s="1"/>
  <c r="B228" i="1"/>
  <c r="B227" i="1" s="1"/>
  <c r="E147" i="1"/>
  <c r="E134" i="1" s="1"/>
  <c r="B457" i="1"/>
  <c r="B456" i="1" s="1"/>
  <c r="B126" i="1"/>
  <c r="E457" i="1"/>
  <c r="E456" i="1" s="1"/>
  <c r="F457" i="1"/>
  <c r="F456" i="1" s="1"/>
  <c r="E8" i="1" l="1"/>
  <c r="E1118" i="1"/>
  <c r="E1148" i="1"/>
  <c r="B8" i="1"/>
</calcChain>
</file>

<file path=xl/sharedStrings.xml><?xml version="1.0" encoding="utf-8"?>
<sst xmlns="http://schemas.openxmlformats.org/spreadsheetml/2006/main" count="2255" uniqueCount="1125">
  <si>
    <t>DINAS PEKERJAAN UMUM DAN PENATAAN RUANG KABUPATEN TEGAL</t>
  </si>
  <si>
    <t>LAPORAN BULANAN PELAKSANAAN PENGADAAN BARANG/JASA (SWAKELOLA DAN PENYEDIA) TAHUN ANGGARAN 2025</t>
  </si>
  <si>
    <t>BULAN DESEMBER 2025</t>
  </si>
  <si>
    <t>Program / Kegiatan / Sub Kegiatan / Paket Pekerjaan</t>
  </si>
  <si>
    <t>Pagu Anggaran (Rp.)</t>
  </si>
  <si>
    <t>Jenis Pengadaan Barang/Jasa</t>
  </si>
  <si>
    <t>Sisa Anggaran (Rp.)</t>
  </si>
  <si>
    <t>Real Komulatif (Tertimbang)</t>
  </si>
  <si>
    <t>Nilai (Rp.)</t>
  </si>
  <si>
    <t>Keuangan (Rp)</t>
  </si>
  <si>
    <t>Fisik (%)</t>
  </si>
  <si>
    <t>PROGRAM PENUNJANG URUSAN PEMERINTAHAN DAERAH KABUPATEN/KOTA</t>
  </si>
  <si>
    <t>Perencanaan, Penganggaran, dan Evaluasi Kinerja Perangkat Daerah</t>
  </si>
  <si>
    <t>Penyusunan Dokumen Perencanaan Perangkat Daerah</t>
  </si>
  <si>
    <t>1. Biaya Umum</t>
  </si>
  <si>
    <t>Swakelola</t>
  </si>
  <si>
    <t>Evaluasi Kinerja Perangkat Daerah</t>
  </si>
  <si>
    <t>Administrasi Keuangan Perangkat Daerah</t>
  </si>
  <si>
    <t>Penyediaan Gaji dan Tunjangan ASN</t>
  </si>
  <si>
    <t>Penyediaan Administrasi Pelaksanaan Tugas ASN</t>
  </si>
  <si>
    <t xml:space="preserve">Pelaksanaan Penatausahaan dan Pengujian/Verifikasi Keuangan SKPD </t>
  </si>
  <si>
    <t>Koordinasi dan Penyusunan Laporan Keuangan Akhir Tahun SKPD</t>
  </si>
  <si>
    <t>Pengelolaan dan Penyiapan Bahan Tanggapan Pemeriksaan</t>
  </si>
  <si>
    <t xml:space="preserve">Koordinasi dan Penyusunan Laporan Keuangan Bulanan/ Triwulanan/ Semesteran SKPD </t>
  </si>
  <si>
    <t xml:space="preserve">Penyusunan Pelaporan dan Analisis Prognosis Realisasi Anggaran </t>
  </si>
  <si>
    <t>Administrasi Barang Milik Daerah pada Perangkat Daerah</t>
  </si>
  <si>
    <t xml:space="preserve">Penyusunan Perencanaan Kebutuhan Barang Milik Daerah SKPD </t>
  </si>
  <si>
    <t>Pengamanan Barang Milik Daerah SKPD</t>
  </si>
  <si>
    <t xml:space="preserve">Koordinasi dan Penilaian Barang Milik Daerah SKPD </t>
  </si>
  <si>
    <t>Pembinaan, Pengawasan, dan Pengendalian Barang Milik Daerah pada SKPD</t>
  </si>
  <si>
    <t xml:space="preserve">Rekonsiliasi dan Penyusunan Laporan Barang Milik Daerah pada SKPD </t>
  </si>
  <si>
    <t>Penatausahaan Barang Milik Daerah pada SKPD</t>
  </si>
  <si>
    <t>Pemanfaatan Barang Milik Daerah SKPD</t>
  </si>
  <si>
    <t>Administrasi Pendapatan Daerah Kewenangan Perangkat Daerah</t>
  </si>
  <si>
    <t xml:space="preserve">Perencanaan Pengelolaan Retribusi Daerah </t>
  </si>
  <si>
    <t xml:space="preserve">Analisa dan Pengembangan Retribusi Daerah, serta Penyusunan Kebijakan Retribusi Daerah </t>
  </si>
  <si>
    <t>Pengolahan Data Retribusi Daerah</t>
  </si>
  <si>
    <t>Pelaporan Pengelolaan Retribusi Daerah</t>
  </si>
  <si>
    <t>Administrasi Kepegawaian Perangkat Daerah</t>
  </si>
  <si>
    <t xml:space="preserve">Peningkatan Sarana dan Prasarana Disiplin Pegawai </t>
  </si>
  <si>
    <t>Pengadaan Pakaian Dinas beserta Atribut Kelengkapannya</t>
  </si>
  <si>
    <t>Pendataan dan Pengolahan Administrasi Kepegawaian</t>
  </si>
  <si>
    <t xml:space="preserve">Koordinasi dan Pelaksanaan Sistem Informasi Kepegawaian </t>
  </si>
  <si>
    <t>Monitoring, Evaluasi, dan Penilaian Kinerja Pegawai</t>
  </si>
  <si>
    <t>Pemulangan Pegawai yang Pensiun</t>
  </si>
  <si>
    <t>Pemulangan Pegawai yang Meninggal dalam Melaksanakan Tugas</t>
  </si>
  <si>
    <t>Pemindahan Tugas ASN</t>
  </si>
  <si>
    <t>Pendidikan dan Pelatihan Pegawai Berdasarkan Tugas dan Fungsi</t>
  </si>
  <si>
    <t xml:space="preserve">Sosialisasi Peraturan Perundang-Undangan </t>
  </si>
  <si>
    <t>Bimbingan Teknis Implementasi Peraturan Perundang-Undangan</t>
  </si>
  <si>
    <t>Administrasi Umum Perangkat Daerah</t>
  </si>
  <si>
    <t>Penyediaan Komponen Instalasi Listrik/Penerangan Bangunan Kantor</t>
  </si>
  <si>
    <t>Penyediaan Peralatan dan Perlengkapan Kantor</t>
  </si>
  <si>
    <t>Penyediaan Peralatan Rumah Tangga</t>
  </si>
  <si>
    <t>Penyediaan Bahan Logistik Kantor</t>
  </si>
  <si>
    <t>1. Belanja Kertas dan Cover</t>
  </si>
  <si>
    <t>Barang</t>
  </si>
  <si>
    <t>2. Belanja Alat Tulis Kantor</t>
  </si>
  <si>
    <t>3. Biaya Umum</t>
  </si>
  <si>
    <t xml:space="preserve">Penyediaan Barang Cetakan dan Penggandaan </t>
  </si>
  <si>
    <t xml:space="preserve">Penyediaan Bahan Bacaan dan Peraturan Perundang-undangan </t>
  </si>
  <si>
    <t>Fasilitasi Kunjungan Tamu</t>
  </si>
  <si>
    <t>Penyelenggaraan Rapat Koordinasi dan Konsultasi SKPD</t>
  </si>
  <si>
    <t>Penatausahaan Arsip Dinamis pada SKPD</t>
  </si>
  <si>
    <t>Dukungan Pelaksanaan Sistem Pemerintahan Berbasis Elektronik pada SKPD</t>
  </si>
  <si>
    <t>Pengadaan Barang Milik Daerah Penunjang Urusan Pemerintah Daerah</t>
  </si>
  <si>
    <t xml:space="preserve">Pengadaan Kendaraan Perorangan Dinas atau Kendaraan Dinas Jabatan </t>
  </si>
  <si>
    <t>1. Belanja Modal Pengadaan Kendaraan Perorangan Dinas atau Kendaraan Dinas Jabatan</t>
  </si>
  <si>
    <t>2. Belanja Modal  Pengadaan Kendaraan Perorangan Dinas atau Kendaraan Dinas Jabatan</t>
  </si>
  <si>
    <t>3. Belanja Modal Pengadaan Kendaraan Dinas Operasional atau Lapangan</t>
  </si>
  <si>
    <t>4. Biaya Umum</t>
  </si>
  <si>
    <t>Pengadaan Kendaraan Dinas Operasional atau Lapangan</t>
  </si>
  <si>
    <t>1. Belanja Modal Kendaraan Dinas Bermotor Perorangan (Roda dua)</t>
  </si>
  <si>
    <t>2. Belanja Modal Kendaraan  Bermotor Penumpang</t>
  </si>
  <si>
    <t xml:space="preserve">Pengadaan Mebel </t>
  </si>
  <si>
    <t>2. Pengadaan Mebel</t>
  </si>
  <si>
    <t>3. Pengadaan Mebel</t>
  </si>
  <si>
    <t>Pengadaan Peralatan dan Mesin Lainnya</t>
  </si>
  <si>
    <t>1. Belanja Modal Personal Computer (Laptop Khusus, PC)</t>
  </si>
  <si>
    <t>2. Belanja Modal Komputer Unit Lainya</t>
  </si>
  <si>
    <t>3. Belanja Modal Personal Computer (Tablet)</t>
  </si>
  <si>
    <t>4. Belanja Modal Personal Computer (Laptop dan Printer BJJ)</t>
  </si>
  <si>
    <t>5. Belanja Modal Personal Computer (Laptop PBLTARU)</t>
  </si>
  <si>
    <t>6. Belanja Modal Personal Computer (Printer PBLTARU)</t>
  </si>
  <si>
    <t>7. Biaya Umum</t>
  </si>
  <si>
    <t>Pengadaan Sarana dan Prasarana Gedung Kantor atau Bangunan Lainnya</t>
  </si>
  <si>
    <t>1. Belanja Modal Alat Pendingin</t>
  </si>
  <si>
    <t xml:space="preserve">Pengadaan Sarana dan Prasarana Pendukung Gedung Kantor atau Bangunan Lainnya </t>
  </si>
  <si>
    <t>Penyediaan Jasa Penunjang Urusan Pemerintahan Daerah</t>
  </si>
  <si>
    <t>Penyediaan Jasa Surat Menyurat</t>
  </si>
  <si>
    <t>Penyediaan Jasa Komunikasi, Sumber Daya Air dan Listrik</t>
  </si>
  <si>
    <t>Penyediaan Jasa Pelayanan Umum Kantor</t>
  </si>
  <si>
    <t>1. Belanja Jasa Tenaga Administrasi</t>
  </si>
  <si>
    <t>Jasa Lainnya</t>
  </si>
  <si>
    <t>2. Biaya Umum</t>
  </si>
  <si>
    <t>Pemeliharaan Barang Milik Daerah Penunjang Urusan Pemerintahan Daerah</t>
  </si>
  <si>
    <t xml:space="preserve">Penyediaan Jasa Pemeliharaan, Biaya Pemeliharaan, dan Pajak Kendaraan Perorangan Dinas atau Kendaraan Dinas Jabatan </t>
  </si>
  <si>
    <t xml:space="preserve">Penyediaan Jasa Pemeliharaan, Biaya Pemeliharaan, Pajak dan Perizinan Kendaraan Dinas Operasional atau Lapangan </t>
  </si>
  <si>
    <t xml:space="preserve">Penyediaan Jasa Pemeliharaan, Biaya Pemeliharaan dan Perizinan Alat Besar </t>
  </si>
  <si>
    <t xml:space="preserve">Pemeliharaan Mebel </t>
  </si>
  <si>
    <t>Pemeliharaan Peralatan dan Mesin Lainnya</t>
  </si>
  <si>
    <t xml:space="preserve">Pemeliharaan Aset Tak Berwujud </t>
  </si>
  <si>
    <t xml:space="preserve">Pemeliharaan/Rehabilitasi Gedung Kantor dan Bangunan Lainnya </t>
  </si>
  <si>
    <t>1. Pemeliharaan Ruang Bidang Jalan, Jembatan DPUPR Kabupaten Tegal</t>
  </si>
  <si>
    <t>Pekerjaan Konstruksi</t>
  </si>
  <si>
    <t>2. Pemeliharaan Gedung Arsip Bidang SDA DPUPR Kabupaten Tegal</t>
  </si>
  <si>
    <t>3. Pemeliharaan Ruang Bengkel DPUPR Kabupaten Tegal</t>
  </si>
  <si>
    <t>4. Pemeliharaan Lapangan Tennis Komplek Kantor DPUPR Kabupaten Tegal</t>
  </si>
  <si>
    <t>5. Pemeliharaan Rumah Dinas Kemantren SDA DPUPR Kab Tegal (Tuwel)</t>
  </si>
  <si>
    <t>6. Rehab Interior Ruang Rapat 1 DPUPR Kab Tegal</t>
  </si>
  <si>
    <t>7. Konsultan Perencana Pemeliharaan / Rehabilitasi Gedung Kantor dan Bangunan Lainnya</t>
  </si>
  <si>
    <t>Jasa Konsultansi</t>
  </si>
  <si>
    <t>8. Biaya Umum</t>
  </si>
  <si>
    <t xml:space="preserve">Pemeliharaan/Rehabilitasi Sarana dan Prasarana Gedung Kantor atau Bangunan Lainnya </t>
  </si>
  <si>
    <t>Pemeliharaan/Rehabilitasi Sarana dan Prasarana Pendukung Gedung Kantor atau Bangunan Lainnya</t>
  </si>
  <si>
    <t>1. Pemeliharaan Gedung Kantor UPTD Pemeliharaan Jalan, Irigasi dan Penataan Bangunan Wilayah I</t>
  </si>
  <si>
    <t>2. Pemeliharaan Gedung Kantor UPTD Pemeliharaan Jalan, Irigasi dan Penataan Bangunan Wilayah II</t>
  </si>
  <si>
    <t>3. Pemeliharaan Gedung Kantor UPTD Pemeliharaan Jalan, Irigasi dan Penataan Bangunan Wilayah III</t>
  </si>
  <si>
    <t>4. Pemeliharaan Gedung Kantor UPTD Pemeliharaan Jalan, Irigasi dan Penataan Bangunan Wilayah IV</t>
  </si>
  <si>
    <t>5. Pemeliharaan Gedung Kantor UPTD Pemeliharaan Jalan, Irigasi dan Penataan Bangunan Wilayah V</t>
  </si>
  <si>
    <t>6. Pemeliharaan Gedung Kantor UPTD Pemeliharaan Jalan, Irigasi dan Penataan Bangunan Wilayah VI</t>
  </si>
  <si>
    <t>8. Konsultan Perencana Pemeliharaan / Rehabilitasi Sarana dan Prasarana Pendukung Gedung Kantor dan Bangunan Lainnya</t>
  </si>
  <si>
    <t>PROGRAM PENGELOLAAN SUMBER DAYA AIR (SDA)</t>
  </si>
  <si>
    <t>Pengembangan dan Pengelolaan Sistem Irigasi Primer dan Sekunder pada Daerah Irigasi yang Luasnya di Bawah 1000 Ha dalam 1 (Satu) Daerah Kabupaten/Kota</t>
  </si>
  <si>
    <t>Rehabilitasi Jaringan Irigasi Permukaan</t>
  </si>
  <si>
    <t>1. Rehabilitasi Jaringan Irigasi DI Telaga Kiri Desa Begawat Kec. Bumijawa</t>
  </si>
  <si>
    <t>2. Rehabilitasi Jaringan Irigasi DI Sarang II Desa Sokatengah Kec. Bumijawa</t>
  </si>
  <si>
    <t>3. Rehabilitasi Jaringan Irigasi Bawangan Desa Sokasari Kec. Bumijawa</t>
  </si>
  <si>
    <t>4. Rehabilitasi Jaringan Irigasi DI Gintung II Desa Sokasari Kec. Bumijawa</t>
  </si>
  <si>
    <t>5. Rehabilitasi Jaringan Irigasi DI Sangka Kec. Bojong</t>
  </si>
  <si>
    <t>6. Rehabilitasi Jaringan Irigasi DI Brete II Desa Kedungwungu Kec. Jatinegara</t>
  </si>
  <si>
    <t>7. Rehabilitasi Jaringan Irigasi DI Gantungan Desa Gantungan Kec. Jatinegara</t>
  </si>
  <si>
    <t>8. Rehabilitasi Jaringan Irigasi DI Kidangpari Desa Padasari Kec. Jatinegara</t>
  </si>
  <si>
    <t>9. Rehabilitasi Jaringan Irigasi DI Onje Desa Padasari Kec. Jatinegara</t>
  </si>
  <si>
    <t>10. Rehabilitasi Jaringan Irigasi DI Pucangluwuk Kec. Bojong</t>
  </si>
  <si>
    <t>11. Rehabilitasi Jaringan Irigasi DI Rambut Desa kajenengan Kec. Bojong</t>
  </si>
  <si>
    <t>12. Rehabilitasi Jaringan Irigasi DI Batu Cs Desa Harjawinangun Kec. Balapulang</t>
  </si>
  <si>
    <t>13. Rehabilitasi Jaringan Irigasi DI Pagerwangi Desa Harjawinangun Kec. Balapulang</t>
  </si>
  <si>
    <t>14. Rehabilitasi Jaringan Irigasi DI Blumbung Kec. Balapulang</t>
  </si>
  <si>
    <t>15. Rehabilitasi Jaringan Irigasi DI Gimber II Kec. Balapulang</t>
  </si>
  <si>
    <t>16. Rehabilitasi Jaringan Irigasi DI KaliJambe Kec. Margasari</t>
  </si>
  <si>
    <t>17. Rehabilitasi Jaringan Irigasi DI Nutugmulya Desa Cilongok Kec. Balapulang</t>
  </si>
  <si>
    <t>18. Biaya Umum</t>
  </si>
  <si>
    <t>Operasi dan Pemeliharaan Jaringan Irigasi Permukaan</t>
  </si>
  <si>
    <t>1. Penanganan Banjiran</t>
  </si>
  <si>
    <t>2. Pengadaan bahan pengecatan dan pelumas Fas. OP irigasi</t>
  </si>
  <si>
    <t>3. Pengadaan Perlengkapan &amp; Pendukung Kerja Kantor/ Lapangan</t>
  </si>
  <si>
    <t>4. Perbaikan Fasilitas Penunjang OP Jaringan Irigasi</t>
  </si>
  <si>
    <t>5. Beban Jasa Tenaga non Outsourcing (Honor THL)</t>
  </si>
  <si>
    <t>6. Pemeliharaan Jaringan Irigasi Tangger Kec. Jatinegara</t>
  </si>
  <si>
    <t>7. Pemeliharaan Jaringan Irigasi Dongkal Kec. Jatinegara</t>
  </si>
  <si>
    <t>8. Pemeliharaan Jaringan Irigasi Kemaron Kec. Bojong</t>
  </si>
  <si>
    <t>9. Pemeliharaan Jaringan Irigasi Kele Kec. Bumijawa</t>
  </si>
  <si>
    <t>10. Pemeliharaan Jaringan Irigasi Diyang Hulu Kec. Bumijawa</t>
  </si>
  <si>
    <t>11. Pemeliharaan Jaringan Irigasi Gonggo Kec. Balapulang</t>
  </si>
  <si>
    <t>12. Pemeliharaan Jaringan Irigasi Aur Kec. Balapulang</t>
  </si>
  <si>
    <t>13. Pemeliharaan Jaringan Irigasi Detong Kec. Balapulang</t>
  </si>
  <si>
    <t>14. Pemeliharaan Jaringan Irigasi Pondoh Kec. Margasari</t>
  </si>
  <si>
    <t>15. Pemeliharaan Jaringan Irigasi Rajabawah Kec. Margasari</t>
  </si>
  <si>
    <t>16. Pemeliharaan Jaringan Irigasi Lengkong II Kec. Bojong</t>
  </si>
  <si>
    <t>22. Biaya Umum</t>
  </si>
  <si>
    <t>Pengelolaan dan Pengawasan Alokasi Air Irigasi</t>
  </si>
  <si>
    <t>1. A. Pengelolaan dan Pengawasan Alokasi Air Irigasi :</t>
  </si>
  <si>
    <t>-</t>
  </si>
  <si>
    <t>2. Belanja Alat/ Bahan untuk Kegiatan Kantor - Alat tulis Kantor</t>
  </si>
  <si>
    <t>3. Belanja Alat/ Bahan untuk Kegiatan Kantor - Kertas dan Cover</t>
  </si>
  <si>
    <t>4. Belanja Alat/ Bahan untuk Kegiatan Kantor - Bahan cetak</t>
  </si>
  <si>
    <t>5. Belanja Alat/ Bahan untuk Kegiatan Kantor - Benda Pos (Meterai)</t>
  </si>
  <si>
    <t>6. Tas Kerja/ Penataran/ Sosialisasi/ Seminar/ Sejenisnya</t>
  </si>
  <si>
    <t>7. Belanja Makan dan Minuman Rapat</t>
  </si>
  <si>
    <t>8. Honorarium Narasumber atau Pembahas, Moderator, Pembawa Acara dan Panitia</t>
  </si>
  <si>
    <t>9. Belanja Kursus/Pelatihan, Sosialisasi, Bimbingan Teknis serta Pendidikan dan Pelatihan (Sosialisasi)</t>
  </si>
  <si>
    <t>10. Belanja Perjalanan Dinas Biasa</t>
  </si>
  <si>
    <t>11. Belanja Perjalanan Dinas Dalam Kota</t>
  </si>
  <si>
    <t xml:space="preserve">Penyusunan Rencana Teknis dan Dokumen Lingkungan Hidup untuk Konstruksi Irigasi dan Rawa </t>
  </si>
  <si>
    <t>1. DED Jaringan Irigasi DI Cilumpang (Kec.Balapulang)</t>
  </si>
  <si>
    <t>2. DED Jaringan Irigasi DI Gong (Kec.Bumijawa)</t>
  </si>
  <si>
    <t>3. Penyusunan Database Irigasi Berbasis Web SisDA</t>
  </si>
  <si>
    <t>4. Penyusunan Pedoman Pola Tanam dan Rencana Tanam Kabupaten Tegal Tahun 2025 - 2026</t>
  </si>
  <si>
    <t>5. Penyusunan Sistem Elektronik Pengelolaan Aset Irigasi dan Kinerja Sistem Irigasi (e-PAKSI) wilayah Kabupaten Tegal</t>
  </si>
  <si>
    <t>6. Penyusunan Sistem Elektronik Pengelolaan Aset Irigasi dan Kinerja Sistem Irigasi (e-PAKSI) wilayah Kabupaten Tegal (Lanjutan)</t>
  </si>
  <si>
    <t>7. Review DED Jaringan Irigasi DI Jombre (Kec. Bumijawa)</t>
  </si>
  <si>
    <t>PROGRAM PENGELOLAAN DAN PENGEMBANGAN SISTEM PENYEDIAAN AIR MINUM</t>
  </si>
  <si>
    <t>Pengelolaan dan Pengembangan Sistem Penyediaan Air Minum (SPAM) di Daerah Kabupaten/Kota</t>
  </si>
  <si>
    <t xml:space="preserve">Penyusunan Rencana, Kebijakan, Strategi dan Teknis Sistem Penyediaan Air Minum (SPAM) </t>
  </si>
  <si>
    <t>1. DED Perencanaan Air Minum 2026</t>
  </si>
  <si>
    <t>2. Belanja Jasa Tenaga Administrasi</t>
  </si>
  <si>
    <t>4. Belanja Modal Alat Kantor Lainnya (Meteran Laser Digital)</t>
  </si>
  <si>
    <t>Peningkatan Sistem Penyediaan Air Minum (SPAM) Jaringan Perpipaan</t>
  </si>
  <si>
    <t>1. Jasa Konsultan Pengawasan SPAM JP Desa Bumijawa Kec. Bumijawa</t>
  </si>
  <si>
    <t>2. Peningkatan SPAM JP Desa Bumijawa Kec. Bumijawa</t>
  </si>
  <si>
    <t>3. Jasa Konsultan Pengawasan SPAM JP Desa Sokatengah Kec. Bumijawa</t>
  </si>
  <si>
    <t>4. Peningkatan SPAM JP Desa Sokatengah Kec. Bumijawa</t>
  </si>
  <si>
    <t>5. Jasa Konsultan Pengawasan SPAM JP Desa Begawat Kec. Bumijawa</t>
  </si>
  <si>
    <t>6. Peningkatan SPAM JP Desa Begawat Kec. Bumijawa</t>
  </si>
  <si>
    <t>Optimalisasi Sistem Penyediaan Air Minum (SPAM) Jaringan Perpipaan</t>
  </si>
  <si>
    <t>1. Jasa Konsultan Perencanaan SPAM JP Desa Dukuhtengah Kec. Bojong</t>
  </si>
  <si>
    <t>2. Jasa Konsultan Pengawasan Optimalisasi SPAM JP Desa Dukuhtengah Kec. Bojong</t>
  </si>
  <si>
    <t>3. Optimalisasi SPAM JP Desa Dukuhtengah Kec. Bojong</t>
  </si>
  <si>
    <t>4. Jasa Konsultan Perencanaan Optimalisasi SPAM JP Desa Tuwel Kec. Bojong</t>
  </si>
  <si>
    <t>5. Jasa Konsultan Pengawasan Optimalisasi SPAM Jaringan Perpipaan Desa Tuwel Kec. Bojong</t>
  </si>
  <si>
    <t>6. Optimalisasi SPAM JP Desa Tuwel Kec. Bojong</t>
  </si>
  <si>
    <t>Perluasan Sistem Penyediaan Air Minum (SPAM) Jaringan Perpipaan</t>
  </si>
  <si>
    <t>1. Jasa Konsultan Pengawasan Perluasan SPAM Jaringan Perpipaan Desa Margamulya Kec. Kedungbanteng</t>
  </si>
  <si>
    <t>2. Perluasan SPAM Jaringan Perpipaan Desa Margamulya Kec. Kedungbanteng</t>
  </si>
  <si>
    <t>3. Jasa Konsultan Pengawasan Perluasan SPAM Jaringan Perpipaan Desa Warureja Kec. Warureja</t>
  </si>
  <si>
    <t>4. Perluasan SPAM Jaringan Perpipaan Desa Warureja Kec. Warureja</t>
  </si>
  <si>
    <t>5. Jasa Konsultan Perencanaan Perluasan SPAM JP Desa Sokasari Kec. Bumijawa</t>
  </si>
  <si>
    <t>6. Jasa Konsultan Pengawasan Perluasan SPAM JP Desa Sokasari Kec. Bumijawa</t>
  </si>
  <si>
    <t>7. Perluasan SPAM JP Desa Sokasari Kec. Bumijawa</t>
  </si>
  <si>
    <t>8. Jasa Konsultan Pengawasan Perluasan SPAM Jaringan Perpipaan Desa Jatiwangi Kec. Pagerbarang</t>
  </si>
  <si>
    <t xml:space="preserve">9. Perluasan SPAM Jaringan Perpipaan Desa Jatiwangi Kec. Pagerbarang </t>
  </si>
  <si>
    <t>10. Biaya Umum</t>
  </si>
  <si>
    <t>11. Belanja Modal Alat Kantor Lainnya (Meteran Laser Digital)</t>
  </si>
  <si>
    <t>PROGRAM PENGEMBANGAN SISTEM DAN PENGELOLAAN PERSAMPAHAN REGIONAL</t>
  </si>
  <si>
    <t>Pengembangan Sistem dan Pengelolaan Persampahan di Daerah Kabupaten/Kota</t>
  </si>
  <si>
    <t>Pembangunan TPA/TPST/SPA/TPS-3R/TPS</t>
  </si>
  <si>
    <t>1. Pembangunan TPS3R Desa Dermasandi Kec. Pangkah</t>
  </si>
  <si>
    <t>2. Pembangunan TPS3R Desa Harjosari Lor Kec. Adiwerna</t>
  </si>
  <si>
    <t>3. Pembangunan TPS3R Desa Kertasari Kec. Suradadi</t>
  </si>
  <si>
    <t>4. Pembangunan TPS3R Desa Kesuben Kec. Lebaksiu</t>
  </si>
  <si>
    <t>5. Konsolidasi Pengadaan Motor Sampah Pembangunan TPS3R Desa Kertasari Kec. Suradadi dan Desa Karangdawa Kec. Margasari</t>
  </si>
  <si>
    <t>6. Biaya Umum</t>
  </si>
  <si>
    <t>7. Belanja Modal Alat Kantor Lainnya (GPS)</t>
  </si>
  <si>
    <t xml:space="preserve">8. Belanja Alat/Bahan untuk Kegiatan Kantor-Alat/Bahan untuk Kegiatan Kantor Lainnya (Jangka Sorong)
</t>
  </si>
  <si>
    <t xml:space="preserve">9. Belanja Pakaian Dinas Lapangan (PDL)
</t>
  </si>
  <si>
    <t xml:space="preserve">10. Belanja Modal Alat Kantor Lainnya ( Meteran Digital)
</t>
  </si>
  <si>
    <t>Optimalisasi TPA/TPST/SPA/TPS-3R/TPS</t>
  </si>
  <si>
    <t>PROGRAM PENGELOLAAN DAN PENGEMBANGAN SISTEM AIR LIMBAH</t>
  </si>
  <si>
    <t>Pengelolaan dan Pengembangan Sistem Air Limbah Domestik dalam Daerah Kabupaten/Kota</t>
  </si>
  <si>
    <t>Optimalisasi Instalasi Pengolahan Lumpur Tinja (IPLT)</t>
  </si>
  <si>
    <t>1. Penyusunan Naskah Akademis Perda Pengelolaan Air Limbah Domestik Kabupaten Tegal</t>
  </si>
  <si>
    <t>2. DED Optimalisasi IPLT</t>
  </si>
  <si>
    <t>3. Pengawasan Optimalisasi IPLT</t>
  </si>
  <si>
    <t>4. Optimalisasi IPLT</t>
  </si>
  <si>
    <t>5. Biaya Umum</t>
  </si>
  <si>
    <t>Penyediaan Sub Sistem Pengolahan Air Limbah Domestik (SPALD) Setempat</t>
  </si>
  <si>
    <t>1. Pembangunan Tangki Septik Skala Individual Perdesaan minimal 25 KK Desa Cikura Kec. Bojong</t>
  </si>
  <si>
    <t>2. Pembangunan Tangki Septik Skala Individual Perdesaan minimal 25 KK Desa Cilongok Kec. Balapulang</t>
  </si>
  <si>
    <t xml:space="preserve">3. Pembangunan Tangki Septik Skala Individual Perdesaan minimal 25 KK Desa Demangharjo Kec. Warureja </t>
  </si>
  <si>
    <t>4. Pembangunan Tangki Septik Skala Individual Perdesaan minimal 25 KK Desa Grobogkulon Kec. Pangkah</t>
  </si>
  <si>
    <t xml:space="preserve">5. Pembangunan Tangki Septik Skala Individual Perdesaan minimal 25 KK Desa Jatibogor Kec. Suradadi </t>
  </si>
  <si>
    <t>6. Pembangunan Tangki Septik Skala Individual Perdesaan minimal 25 KK Desa Kertasari Kec. Suradadi</t>
  </si>
  <si>
    <t>7. Pembangunan Tangki Septik Skala Individual Perkotaan Desa Banjaragung Kec. Warureja</t>
  </si>
  <si>
    <t xml:space="preserve">8. Pembangunan Tangki Septik Skala Individual Perkotaan Desa Jatimulya Kec. Suradadi </t>
  </si>
  <si>
    <t xml:space="preserve">9. Pembangunan Tangki Septik Skala Individual Perkotaan Desa Karangdawa Kec. Margasari </t>
  </si>
  <si>
    <t>10. Pembangunan Tangki Septik Skala Individual Perkotaan minimal 50 KK Desa Danareja Kec. Balapulang</t>
  </si>
  <si>
    <t>11.  Pembangunan Tangki Septik Skala Individual Perkotaan minimal 50 KK Desa Kambangan Kec. Lebaksiu</t>
  </si>
  <si>
    <t>12. Pembangunan Tangki Septik Skala Individual Perkotaan minimal 50 KK Desa Pepedan Kec. Dukuhturi</t>
  </si>
  <si>
    <t xml:space="preserve">12. Konsolidasi Pengadaan Tangki Septik Skala Individual  Desa Cikura Kec. Bojong; Desa Cilongok dan Desa Danareja Kec. Balapulang; Desa Demangharjo Kec. Warureja;  Desa Jatibogor dan Desa Kertasari Kec. Suradadi; </t>
  </si>
  <si>
    <t xml:space="preserve">13. Pengadaan Tangki Septik Skala Individual Perdesaan minimal 25 KK Desa Grobogkulon Kec. Pangkah </t>
  </si>
  <si>
    <t>14.Konsolidasi Pengadaan Tangki Septik Skala Individual Perkotaan Desa Banjaragung Kec. Warureja dan Desa Karangdawa Kec. Margasari dan Desa Jatimulya Kec. Suradadi</t>
  </si>
  <si>
    <t>15. Pengadaan Tangki Septik Skala Individual Perkotaan minimal 50 KK Desa Kambangan Kec. Lebaksiu dan Desa Pepedan Kec. Dukuhturi</t>
  </si>
  <si>
    <t>16. Biaya Umum</t>
  </si>
  <si>
    <t>Penyusunan Rencana, Kebijakan, Strategi dan Teknis Sistem Pengelolaan Air Limbah Domestik (SPALD)</t>
  </si>
  <si>
    <t>1. Jasa Penyusunan Dokumen SLO IPAL</t>
  </si>
  <si>
    <t>PROGRAM PENGELOLAAN DAN PENGEMBANGAN SISTEM DRAINASE</t>
  </si>
  <si>
    <t>Pengelolaan dan Pengembangan Sistem Drainase yang Terhubung Langsung dengan Sungai dalam Daerah Kabupaten/Kota</t>
  </si>
  <si>
    <t>Pembangunan Sistem Drainase Perkotaan</t>
  </si>
  <si>
    <t>1. Konsultan Pengawas Pembangunan Drainase Perkotaan Adiwerna</t>
  </si>
  <si>
    <t>2. Drainase dan Talud Jalan Raya Suniarsih- Gunungjati</t>
  </si>
  <si>
    <t>3. Drainase jalan jatinegara lembasari</t>
  </si>
  <si>
    <t>4. Drainase Jalan purwahamba - Blubuk</t>
  </si>
  <si>
    <t>5. Konsolidasi Drainase Jalan Ruas Banjaranyar - Batuagung ; Drainase Ruas Jalan Batuagung - Cenggini</t>
  </si>
  <si>
    <t>6. Drainase ruas jalan babadan warureja</t>
  </si>
  <si>
    <t>7. Drainase Ruas jalan Balamoa - Gembongdadi</t>
  </si>
  <si>
    <t>8. Drainase Ruas Jalan Banjaragung - Kedungkelor</t>
  </si>
  <si>
    <t>9. Drainase Ruas Jalan Batumirah - Dukuh benda</t>
  </si>
  <si>
    <t>10. Drainase Ruas Jalan Gembongkulon - Pasangan</t>
  </si>
  <si>
    <t>11. Drainase ruas jalan jatinegara dukuhbangsa</t>
  </si>
  <si>
    <t>12. Drainase Ruas Jalan kabunan - kedawung</t>
  </si>
  <si>
    <t>13. Drainase Ruas Jalan Langgen - Ekoproyo</t>
  </si>
  <si>
    <t>14. Drainase Ruas Jalan lawatan kupu</t>
  </si>
  <si>
    <t>15. Drainase ruas jalan lembasari tamansari</t>
  </si>
  <si>
    <t>16. Drainase Ruas Jalan Lumingser - Kedungsukun</t>
  </si>
  <si>
    <t>17. Drainase Ruas jalan Pucangluwuk - Kajenengan</t>
  </si>
  <si>
    <t>193.029.000</t>
  </si>
  <si>
    <t>18. Drainase ruas jalan Purbasana-Jatirawa</t>
  </si>
  <si>
    <t>19. Drainase ruas jalan tamansari tipar</t>
  </si>
  <si>
    <t>20. Drainase ruas jalan tembok luwung - grobog</t>
  </si>
  <si>
    <t>21. Drainase /Udict ruas jalan Kertaharja - Kedungsugih</t>
  </si>
  <si>
    <t>22. Drainase / U-Dit Ruas Jalan Kaliwadas Pagedangan</t>
  </si>
  <si>
    <t>23. Lanjutan Drainase di jatilawang ruas jalan Jatilawang - Dinuk</t>
  </si>
  <si>
    <t>24. Lanjutan Drainase Ruas Jalan Setu - Cangkring</t>
  </si>
  <si>
    <t>25. Pembangunan Draenase Ruas Jalan Kalisalak - Margaayu</t>
  </si>
  <si>
    <t>26. Pembangunan Drainase curug - Pangkah</t>
  </si>
  <si>
    <t>27. Pembangunan Drainase Jalan Semeru Dukuhwringin</t>
  </si>
  <si>
    <t>28. Pembangunan Drainase Kalimati - Kajen</t>
  </si>
  <si>
    <t>29. Pembangunan Drainase Perkotaan Adiwerna</t>
  </si>
  <si>
    <t>30. pembangunan drainase ruas jalan Berkat Lebeteng (lokasi di desa lebeteng pedukuhan Jenggala)</t>
  </si>
  <si>
    <t>31. Pembangunan Drainase Ruas Jalan Brekat - Bulakwaru</t>
  </si>
  <si>
    <t>32. Pembangunan Drainase Ruas Jalan Dawuhan - Getaskerep</t>
  </si>
  <si>
    <t>33. Pembangunan Drainase Ruas Jalan Dawuhan - Kemanggungan</t>
  </si>
  <si>
    <t>34. Pembangunan Drainase Ruas Jalan Kajen - Bengle</t>
  </si>
  <si>
    <t>35. Pembangunan Drainase Ruas Jalan Lebeteng (Dukuhturi) - Dermasandi</t>
  </si>
  <si>
    <t>36. Pembangunan Drainase Ruas jalan Muncanglarang - Jejeg</t>
  </si>
  <si>
    <t>37. Pembangunan Drainase Ruas Jalan Peleman - Sidaharja</t>
  </si>
  <si>
    <t>38. Pembangunan Drainase Ruas Jalan Pesayangan - Kaligayam</t>
  </si>
  <si>
    <t>39. Pembangunan Drainase Ruas Jalan Prajamukti I dan Prajamukti II</t>
  </si>
  <si>
    <t>40. Pembangunan Drainase Ruas Jalan Purbasana - Kabukan</t>
  </si>
  <si>
    <t>41. Pembangunan Drainase Ruas Jalan sumbaga - carul</t>
  </si>
  <si>
    <t>42. Pembangunan Drainase ruas Maribaya - Plumbungan</t>
  </si>
  <si>
    <t>43. pembangunan drainase Yamansari - Jatimulya kecamatan Lebaksiu</t>
  </si>
  <si>
    <t>44. Pembangunan Saluran Drainase Gunungjati - Kajenengan</t>
  </si>
  <si>
    <t>45. pembangunan saluran drainase ruas jalan sigedong - dukuh benda</t>
  </si>
  <si>
    <t>46. Pembangunan U-Dit (saluran air)/ Drainase Ruas Jalan Sulang - Getaskerep ( di Pacul )</t>
  </si>
  <si>
    <t>47. Perbaikan Jaringan Drainase Karangmalang -Krangmalang</t>
  </si>
  <si>
    <t>48. Saluran jl sumbing rt 5 rw 6 dukuhwringin</t>
  </si>
  <si>
    <t>49. Saluran Limbah Induk Kabupaten Ruas Kab/Pekiringan-Langgen (drainase)</t>
  </si>
  <si>
    <t>50. Saluran Ruas Jalan jl. Gunung slamet Blubuk</t>
  </si>
  <si>
    <t>51. PembangunanDrainase Ruas Jalan Bulakwaru - Mindaka</t>
  </si>
  <si>
    <t>52. Biaya Umum</t>
  </si>
  <si>
    <t>53. Konsultan Pengawas Pembangunan Drainase Margasari - Margasari (Pasar Margasari)</t>
  </si>
  <si>
    <t>54. Pembangunan Drainase H. Samanhudi (Depan Pasar Trayeman)</t>
  </si>
  <si>
    <t>55. Pembangunan Drainase Margasari - Margasari (Pasar Margasari)</t>
  </si>
  <si>
    <t>56. Konsultan Perencana Saluran Limbah Induk Kabupaten Ruas Kab/Pekiringan-Langgen (drainase)</t>
  </si>
  <si>
    <t>57. Konsultan Pengawas Saluran Limbah Induk Kabupaten Ruas Kab/Pekiringan-Langgen (drainase)</t>
  </si>
  <si>
    <t>58. Konsultan Pengawas Drainase ruas jalan Purbasana-Jatirawa</t>
  </si>
  <si>
    <t>59. Konsultan Perencana Drainase ruas jalan Purbasana-Jatirawa</t>
  </si>
  <si>
    <t>60. Pembangunan Drainase Jalan Kelurahan Slawi Wetan</t>
  </si>
  <si>
    <t>61. Draenase Ruas jalan Balamoa - Gembongdadi (lanjutan)</t>
  </si>
  <si>
    <t>62. Drainase U-Ditch ruas danaraja - cenang</t>
  </si>
  <si>
    <t>63. Drainase sigentong- semedo di sigentong</t>
  </si>
  <si>
    <t>64. Drainase Ruas Jalan Banjaranyar - Margasari</t>
  </si>
  <si>
    <t>65. Drainase Ruas Bumijawa sumbaga</t>
  </si>
  <si>
    <t>66. Drainase Ruas Jalan Sidaharja - Jatibogor</t>
  </si>
  <si>
    <t>67. Pembangunan Drainase Ruas jalan Pagerkasih - Traju</t>
  </si>
  <si>
    <t>68. Pembangunan Drainase Ruas Tembok Banjaran - Ujungrusi lokasi di komplek masjid Al Islah Tembok Lor dan depan balidesa tembok lor</t>
  </si>
  <si>
    <t>69. Pembangunan Drainase Ruas Pedeslohor - Pedeslohor</t>
  </si>
  <si>
    <t>70. Konsultan Perencana Pembangunan Drainase Margasari - Margasari (Pasar Margasari)</t>
  </si>
  <si>
    <t>71. Drainase Lebaksiu Kidul - Lebaksiu Lor (lanjutan)</t>
  </si>
  <si>
    <t>72. Drainase Ruas jalan Pepedan - Pepedan</t>
  </si>
  <si>
    <t>73. Drainase ruas jalan surokidul pesarean</t>
  </si>
  <si>
    <t>74. Pembangunan Drainase Ruas Jalan Bulakwaru - Margapadang di Rt 05 Rw 01 Kecamatan Tarub</t>
  </si>
  <si>
    <t>75. Pembangunan drainase ruas jalan dukuharen - dukuh bujil</t>
  </si>
  <si>
    <t>76. Pembangunan Drainase Ruas Jalan Pacul - Kademangaran</t>
  </si>
  <si>
    <t>77. Pembangunan Drainase Ruas Jalan Selapura - Blubuk Kec. Dukuhwaru</t>
  </si>
  <si>
    <t>78. Drainase Ruas Jalan Karangdawa - Jembayat</t>
  </si>
  <si>
    <t>79. Peningkatan drainase ruas jalan jeruk kelurahan procot (lanjutan)</t>
  </si>
  <si>
    <t xml:space="preserve">80. Pembangunan Drainase ruas jalan mucanglarang - Dukuh Rawa Kecamatan Bumijawa </t>
  </si>
  <si>
    <t xml:space="preserve">81. Pembangunan Drainase Jalan Kabupaten </t>
  </si>
  <si>
    <t xml:space="preserve">82.  Drainase jln tanjungharja - kemuning kec Kramat (di sebelah Utara kantor kepala desa kemuning) </t>
  </si>
  <si>
    <t xml:space="preserve">83.  Perbaikan Drainase dan Jalan Jeruk Kec. Slawi </t>
  </si>
  <si>
    <t xml:space="preserve">85.  Pembangunan Talud dan Drainase Jalan Bumijawa - Sumbaga di Sumbaga (Jalan Baru) </t>
  </si>
  <si>
    <t>PROGRAM PENATAAN BANGUNAN GEDUNG</t>
  </si>
  <si>
    <t>Penyelenggaraan Bangunan Gedung di Wilayah Daerah Kabupaten/Kota, Pemberian Izin Mendirikan Bangunan (IMB) dan Sertifikat Laik Fungsi Bangunan Gedung</t>
  </si>
  <si>
    <t>Penyusunan Kebijakan terkait Penyelenggaraan Bangunan Gedung</t>
  </si>
  <si>
    <t>Bantuan Teknis Pembangunan Bangunan Gedung Negara untuk Kepentingan Strategis Kabupaten/Kota</t>
  </si>
  <si>
    <t xml:space="preserve">1. Belanja Jasa Tenaga Administrasi </t>
  </si>
  <si>
    <t>Pembangunan, Pemanfaatan, Pelestariaan dan Pembongkaran Bangunan Gedung untuk Kepentingan Strategis Daerah Kabupaten/Kota</t>
  </si>
  <si>
    <t>1. Lanjutan Pembangunan Masjid Kodim 0712/Tegal</t>
  </si>
  <si>
    <t>2. JASA KONSULTANSI PENGAWASAN PEMBANGUNAN GEDUNG KANTOR DINAS PERHUBUNGAN KABUPATEN TEGAL</t>
  </si>
  <si>
    <t>3. JASA KONSULTANSI PENGAWASAN PEMBANGUNAN MASJID KODIM 0712/TEGAL</t>
  </si>
  <si>
    <t>4. JASA KONSULTANSI PENGAWASAN PEMBANGUNAN RUNNING TRACK STADION TRISANJA</t>
  </si>
  <si>
    <t>5. JASA KONSULTANSI PENGAWASAN PEMBANGUNAN TRIBUN STADION TRISANJA</t>
  </si>
  <si>
    <t>6. JASA KONSULTANSI PENGAWASAN PENATAAN KAWASAN STADION TRISANJA</t>
  </si>
  <si>
    <t>7. JASA KONSULTANSI PENGAWASAN REHABILITASI SEDANG GEDUNG KANTOR KEJAKSAAN NEGERI KABUPATEN TEGAL</t>
  </si>
  <si>
    <t>8. JASA KONSULTANSI PERENCANAAN PEMBANGUNAN RUNNING TRACK STADION TRISANJA</t>
  </si>
  <si>
    <t>9. JASA KONSULTANSI PERENCANAAN PENATAAN KAWASAN STADION TRISANJA</t>
  </si>
  <si>
    <t>10. JASA KONSULTANSI PERENCANAAN REHABILITASI SEDANG GEDUNG KANTOR KEJAKSAAN NEGERI KABUPATEN TEGAL</t>
  </si>
  <si>
    <t>11. REHABILITASI SEDANG GEDUNG KANTOR KEJAKSAAN NEGERI KABUPATEN TEGAL</t>
  </si>
  <si>
    <t>12. PEMBANGUNAN GEDUNG KANTOR DINAS PERHUBUNGAN KABUPATEN TEGAL</t>
  </si>
  <si>
    <t>13. PEMBANGUNAN RUNNING TRACK STADION TRISANJA</t>
  </si>
  <si>
    <t>14. PEMBANGUNAN TRIBUN STADION TRISANJA</t>
  </si>
  <si>
    <t>15. PENATAAN KAWASAN STADION TRISANJA</t>
  </si>
  <si>
    <t>17. Jasa Konsultansi Berorientasi Layanan-Jasa Konsultansi Manajemen</t>
  </si>
  <si>
    <t>18. LANJUTAN PEMBANGUNAN GEDUNG SERBA GUNA SATRADAR</t>
  </si>
  <si>
    <t>19. PENATAAN KAWASAN POSAL LANAL TEGAL</t>
  </si>
  <si>
    <t>20. REHABILITASI RINGAN/SEDANG RUANG PELAYANAN POLRES TEGAL</t>
  </si>
  <si>
    <t>21. JASA KONSULTANSI PERENCANAAN LANJUTAN PEMBANGUNAN GEDUNG SERBA GUNA SATRADAR</t>
  </si>
  <si>
    <t>22. JASA KONSULTANSI PENGAWASAN LANJUTAN PEMBANGUNAN GEDUNG SERBA GUNA SATRADAR</t>
  </si>
  <si>
    <t>23. JASA KONSULTANSI PERENCANAAN PENATAAN KAWASAN POSAL LANAL TEGAL</t>
  </si>
  <si>
    <t>24. JASA KONSULTANSI PENGAWASAN PENATAAN KAWASAN POSAL LANAL TEGAL</t>
  </si>
  <si>
    <t>25. JASA KONSULTANSI PERENCANAAN REHABILITASI RINGAN/SEDANG RUANG PELAYANAN POLRES TEGAL</t>
  </si>
  <si>
    <t>26. JASA KONSULTANSI PENGAWASAN REHABILITASI RINGAN/SEDANG RUANG PELAYANAN POLRES TEGAL</t>
  </si>
  <si>
    <t>27. Rehabilitasi Sedang Gedung Kantor</t>
  </si>
  <si>
    <t>28. Jasa Konsultansi Pendataan Bangunan Gedung Negara 1</t>
  </si>
  <si>
    <t>29. Jasa Konsultansi Pendataan Bangunan Gedung Negara 2</t>
  </si>
  <si>
    <t>30. JASA KONSULTANSI PERENCANAAN REHABILITASI SEDANG GEDUNG KANTOR</t>
  </si>
  <si>
    <t>31. JASA KONSULTANSI PENGAWASAN REHABILITASI SEDANG GEDUNG KANTOR</t>
  </si>
  <si>
    <t>32. REHABILITASI SARANA PRASARANA MARKAS KOMANDO BRIGADE INFANTERI 4/DEWA RATNA</t>
  </si>
  <si>
    <t>33. JASA KONSULTANSI PERENCANAAN REHABILITASI SARANA PRASARANA MARKAS KOMANDO BRIGADE INFANTERI 4/DEWA RATNA</t>
  </si>
  <si>
    <t>34. JASA KONSULTANSI PENGAWASAN REHABILITASI SARANA PRASARANA MARKAS KOMANDO BRIGADE INFANTERI 4/DEWA RATNA</t>
  </si>
  <si>
    <t>35. Penyusunan Standar Teknis Pembangunan Gedung Negara</t>
  </si>
  <si>
    <t>Penyelenggaraan Penerbitan Persetujuan Bangunan Gedung (PBG), Sertifikat Laik Fungsi (SLF), Surat Bukti Kepemilikan Bangunan Gedung (SBKBG), Rencana Teknis Pembongkaran Bangunan Gedung (RTB), Tim Profesi Ahli (TPA), Tim Penilai Teknis (TPT), Penilik, dan Pendataan Bangunan Gedung melalui  SIMBG</t>
  </si>
  <si>
    <t>PROGRAM PENATAAN BANGUNAN DAN LINGKUNGANNYA</t>
  </si>
  <si>
    <t>Penyelenggaraan Penataan Bangunan dan Lingkungannya di Daerah Kabupaten/Kota</t>
  </si>
  <si>
    <t>Penataan Bangunan dan Lingkungan Kawasan Cagar Budaya, Kawasan Pariwisata, Kawasan Sistem Perkotaan Nasional dan Kawasan Strategis Lainnya</t>
  </si>
  <si>
    <t xml:space="preserve">1. Penyusunan DED Kota Slawi </t>
  </si>
  <si>
    <t>2. Jasa Konsultan Perencana Penataan Alun-Alun Hanggawana (Lanjutan)</t>
  </si>
  <si>
    <t>3. Jasa Konsultan Pengawasan Penataan Alun-Alun Hanggawana (Lanjutan)</t>
  </si>
  <si>
    <t>4. Penataan Alun-Alun Hanggawana (Lanjutan)</t>
  </si>
  <si>
    <t xml:space="preserve">5.  Jasa Konsultan Perencana Perawatan Jalur Pedestrian Kota Slawi </t>
  </si>
  <si>
    <t xml:space="preserve">6. Jasa Konsultan Pengawasan Perawatan Jalur Pedestrian Kota Slawi </t>
  </si>
  <si>
    <t xml:space="preserve">7. Perawatan Jalur Pedestrian Kota Slawi </t>
  </si>
  <si>
    <t>8. Jasa Konsultan Perencana Perawatan Taman Kota Slawi</t>
  </si>
  <si>
    <t xml:space="preserve">9.Jasa Konsultan Pengawasan Perawatan Taman Kota Slawi </t>
  </si>
  <si>
    <t>10. Perawatan Taman Kota Slawi</t>
  </si>
  <si>
    <t>11. Biaya Umum</t>
  </si>
  <si>
    <t>12. Perbaikan Tembok Keliling Kantor DPUPR Kab. Tegal</t>
  </si>
  <si>
    <t>13. Jasa Konsultan Perencana Perbaikan Tembok Keliling Kantor DPUPR Kab. Tegal</t>
  </si>
  <si>
    <t>14. Jasa Konsultan Pengawasan Perbaikan Tembok Keliling Kantor DPUPR Kab. Tegal</t>
  </si>
  <si>
    <t>PROGRAM PENYELENGGARAAN JALAN</t>
  </si>
  <si>
    <t>Penyelenggaraan Jalan Kabupaten/Kota</t>
  </si>
  <si>
    <t>Rekonstruksi Jalan</t>
  </si>
  <si>
    <t>1. Lanjutan Pembangunan Talud Ruas Jalan Selapura - Blubuk</t>
  </si>
  <si>
    <t>2. Lanjutan Talud Ruas Jalan MAN - Lenggor</t>
  </si>
  <si>
    <t>3. Lanjutan Trotoar ruas jalan Kedungsugih Dukuhmaja Kecamatan Pagerbarang</t>
  </si>
  <si>
    <t>4. Pembanguan Talud jalan ruas jalan Jatirawa purbasana</t>
  </si>
  <si>
    <t>5. Pembangunan Bronjong Capar-Padasari</t>
  </si>
  <si>
    <t>6. Pembangunan Bronjong Pengaman Jalan Ruas Jalan Kalibakung - Senggang</t>
  </si>
  <si>
    <t>7. Pembangunan Bronjong Ruas Jalan Pedagangan - Trayeman</t>
  </si>
  <si>
    <t>8. Pembangunan Talud Jalan Kedawung - SMP 2 Slarang Lor</t>
  </si>
  <si>
    <t>9. Pembangunan Talud Jalan Ruas Grobog Wetan - Curug</t>
  </si>
  <si>
    <t>10. Pembangunan talud jalan ruas jalan kabukan jatirawa</t>
  </si>
  <si>
    <t>11. Pembangunan Talud Jalan Teri 2 ( Kaligupit) Desa Kalisapu</t>
  </si>
  <si>
    <t>12. Pembangunan talud jl ruas jl dukuh sekiti glempang</t>
  </si>
  <si>
    <t>13. Pembangunan Talud Kaligayam - Mlodok</t>
  </si>
  <si>
    <t>14. Pembangunan Talud Pengaman Ruas Jalan Batuagung - Cenggini ( Tugu Selamat Datang Cenggini )</t>
  </si>
  <si>
    <t>15. Pembangunan Talud ruas jalan Capar-Padasari</t>
  </si>
  <si>
    <t>16. Pembangunan Talud Ruas Jalan Jatibarang - Pagerbarang</t>
  </si>
  <si>
    <t>17. Pembangunan Talud Ruas Jalan Pesarean - Kedungsugih</t>
  </si>
  <si>
    <t>18. Pembangunan Talud Ruas Prupuk Utara - Dukuh Bojong di Dukuh Persil Desa Prupuk Utara</t>
  </si>
  <si>
    <t>19. Pembangunan Trotoar Di depan SMA 1 Balapulang Ruas Banjaranyar - Batuagung</t>
  </si>
  <si>
    <t>20. Pembangunan Trotoar Karangdawa - Jatilaba</t>
  </si>
  <si>
    <t>21. Pembangunan trotoar Ruas jalan Bojong - Lengkong</t>
  </si>
  <si>
    <t>22. Pembangunan Trotoar Ruas Jalan Jedug - Pagerbarang</t>
  </si>
  <si>
    <t>23. Pembangunan Trotoar Ruas Jalan Tarub Kedokansayang Lokasi di Depan Lapangan Desa Kedokansayang</t>
  </si>
  <si>
    <t>24. Pembangunan Trotoar Tuwel -Bojong</t>
  </si>
  <si>
    <t>25. Pembuatan Trotoar Jalan Banjaranyar - Batuagung</t>
  </si>
  <si>
    <t>26. Rehabilitasi trotoar ruas jalan yamansari - timbangreja</t>
  </si>
  <si>
    <t>27. Talud Desa Jatiwangi Ruas Jalan Jatiwangi - Pagerbarang</t>
  </si>
  <si>
    <t>28. Talud penahan longsor Ruas Jalan Sigedong Dukuh Benda</t>
  </si>
  <si>
    <t>29. TALUD Ruas jalan Carul - Sumbaga</t>
  </si>
  <si>
    <t>30. Talud Ruas Jalan Dawuhan - Kemanggungan</t>
  </si>
  <si>
    <t>31. TALUD Ruas jalan Dr. Wahidin, Slawi</t>
  </si>
  <si>
    <t>32. Talud ruas jalan tamansari wotgalih</t>
  </si>
  <si>
    <t>33. Talud untuk mencegah erosi didesa Karangwuluh ruas Karangwuluh - Lodadi</t>
  </si>
  <si>
    <t>34. Trotoar Bojong - Buniwah kecamatan Bojong</t>
  </si>
  <si>
    <t>35. trotoar depan sdn 4 ujungrusi</t>
  </si>
  <si>
    <t>36. Trotoar jalan ruas jalan Balamoa - Gembongdadi</t>
  </si>
  <si>
    <t>37. Trotoar Ruas jalan Balamoa - Rancawiru</t>
  </si>
  <si>
    <t>38. Trotoar Ruas Jalan Banjaran - Kalikangkung</t>
  </si>
  <si>
    <t>39. Trotoar Ruas Jalan Bumijawa - Sumbaga</t>
  </si>
  <si>
    <t>40. rotoar ruas jalan Jatinegara-Tamansari</t>
  </si>
  <si>
    <t>41. Trotoar Ruas Jalan Kalikangkung - Grobog Wetan</t>
  </si>
  <si>
    <t>42. Trotoar Ruas jalan Pagerkasih - Jejeg ( di jejeg )</t>
  </si>
  <si>
    <t>43. Trotoar ruas jalan yamansari - lebakgowah</t>
  </si>
  <si>
    <t>44. Penanganan Keadaan Darurat Kerusakan Sarana / Prasarana Jalan Ruas Jalan Batunyana - Diwung Desa Gunungjati Kec. Bojong Kab. Tegal</t>
  </si>
  <si>
    <t>45. Biaya Umum</t>
  </si>
  <si>
    <t>46. Penanganan Kerusakan Sarana/Prasarana yang dapat mengganggu kegiatan pelayanan publik Ruas Jalan Desa Dermasuci Kec. Pangkah</t>
  </si>
  <si>
    <t>47. Keadaan Darurat Kerusakan Sarana/Prasarana Yang Dapat Mengganggu Kegiatan Pelayanan Publik Jalan Desa Tembongwah Kec. Balapulang Kab.Tegal</t>
  </si>
  <si>
    <t>48. Konsultan Perencana TROTOAR Ruas jalan Balamoa - Rancawiru</t>
  </si>
  <si>
    <t>49. Konsultan Pengawas TROTOAR Ruas jalan Balamoa - Rancawiru</t>
  </si>
  <si>
    <t>50. Konsultan Perencana Trotoar Jalan ruas Jalan Balamoa - Gembongdadi</t>
  </si>
  <si>
    <t>53. Konsultan Pengawas Trotoar Jalan ruas Jalan Balamoa - Gembongdadi</t>
  </si>
  <si>
    <t>54. Pembangunan Talud Cilongok - Cilongok</t>
  </si>
  <si>
    <t>55. Pembangunan Talud dan Drainase Jalan Bumijawa - Sumbaga di Sumbaga (Jalan Baru)</t>
  </si>
  <si>
    <t>56. Pembangunan Talud Jalan Kaladawa Mejasem Kec. Talang</t>
  </si>
  <si>
    <t>57. Pembangunan Talud Jalan Kendayakan - Dukuh Bandung Kec. Warurejo</t>
  </si>
  <si>
    <t>58. Pembangunan Talud Ruas jalan Banjaragung - Kedungkelor Kec. Warurejo</t>
  </si>
  <si>
    <t>59. Talud ruas jalan kalisalak - margasari</t>
  </si>
  <si>
    <t>60. Trotoar ruas Yomani - Yomani</t>
  </si>
  <si>
    <t>61. Pembangunan Talud Penahan Ruas Jalan Cibunar - Cibunar Balapulang</t>
  </si>
  <si>
    <t>62. Lanjutan pembangunan talud ruas jalan gembong kulon - pasangan</t>
  </si>
  <si>
    <t>63. pembangunan talud ruas jalan dukuharen - bujil</t>
  </si>
  <si>
    <t>64. Pembangunan Talud Ruas Jalan Muncanglarang - Jejeg</t>
  </si>
  <si>
    <t>65. TALUD Ruas jalan Pegirikan - Bedug</t>
  </si>
  <si>
    <t>66. Trotoar jalan randusari- Pagerbarang</t>
  </si>
  <si>
    <t>67. Trotoar ruas Jalan Kertaharja - Kedungsugih ( Depan SD Kertaharja 3 Kecamatan Pagerbarang)</t>
  </si>
  <si>
    <t>68. Pembangunan Talud Ruas Jalan Kesamiran - Bulakwaru (Dukuh Kesambi)</t>
  </si>
  <si>
    <t>69. Pembangunan PJU ruas Yomani - Yomani</t>
  </si>
  <si>
    <t>70. Peningkatan Jalan Simpar - Kajenengan di Kajenengan</t>
  </si>
  <si>
    <t>71. Peningkatan Jalan Dukuh Gergintung - Dukuh Gergintung</t>
  </si>
  <si>
    <t>72. Peningkatan Jalan Bojong- Lengkong</t>
  </si>
  <si>
    <t>73. Peningkatan Jalan Cempaka - Krikil</t>
  </si>
  <si>
    <t>74. Peningkatan Jalan Gunung Agung - Cempaka</t>
  </si>
  <si>
    <t>75. Peningkatan Jalan Bumijawa - Sumbaga di Sumbaga (Jalan Baru)</t>
  </si>
  <si>
    <t xml:space="preserve">Pemeliharaan Berkala Jalan </t>
  </si>
  <si>
    <t>1. Konsultan Pengawas Peningkatan Jalan Bojong - Sokasari</t>
  </si>
  <si>
    <t>2. Konsultan Pengawas Peningkatan Jalan Sumbaga - Sokasari</t>
  </si>
  <si>
    <t>3. Konsultan Pengawas Peningkatan Jalan Sumbaga - Sokatengah</t>
  </si>
  <si>
    <t>4. Bantuan keuangan desa untuk pengaspalan jalan RT18/07 desa tombok lor adiwerna</t>
  </si>
  <si>
    <t>5. Bantuan keuangan desa untuk perbaikan jalan desa Kertasari Kec. Suradadi</t>
  </si>
  <si>
    <t>6. Betonisasi Jalan Ruas Bojongsana - Blendung ( di Bojongsana )</t>
  </si>
  <si>
    <t>7. Betonisasi Jalan Ruas Sidaharja - Jatibogor ( di Jatibogor )</t>
  </si>
  <si>
    <t>8. Lanjutan Jalan ruas jalan Yomani - Yomani</t>
  </si>
  <si>
    <t>9. Lanjutan Peningkatan jalan ruas Jalan Gembongdadi - Harjasari (dk Lodadi)</t>
  </si>
  <si>
    <t>10. Lanjutan peningkatan jalan ruas Jalan Lodadi - Karangmalang</t>
  </si>
  <si>
    <t>11. Lanjutan peningkatan jalan ruas jalan lodadi - karangmulya</t>
  </si>
  <si>
    <t>12. Lanjutan rigit beton ruas Jalan Gembongdadi - Kebandingan</t>
  </si>
  <si>
    <t>13. Pembangunan jalan Sindang</t>
  </si>
  <si>
    <t>14. Pembangunan Rabat Beton Kabukan-Kabukan</t>
  </si>
  <si>
    <t>15. Pemeliharaan berkala jalan ruas jalan kalisalak - margaayu</t>
  </si>
  <si>
    <t>16. Pemeliharaan Berkala Ruas Jalan Batuagung - Cenggini</t>
  </si>
  <si>
    <t>17. Pemeliharaan Berkala Ruas Jalan Kaligayam - Dukuhtengah</t>
  </si>
  <si>
    <t>18. Pemeliharaan jalan ruas jalan Yamansari - Timbangreja</t>
  </si>
  <si>
    <t>19. Pengasapalan jalan karangdawa (ruas jalan karangdawa-Cibunar)</t>
  </si>
  <si>
    <t>20. Pengasapalan jalan karangdawa (ruas karangdawa-jembayat)</t>
  </si>
  <si>
    <t>21. Pengasapalan jalan randusari-pagerbarang</t>
  </si>
  <si>
    <t>22. Pengaspalan Jalan Argatawang - Dukuh blisuk</t>
  </si>
  <si>
    <t>23. Pengaspalan Jalan Bedug -Grobog Kulon</t>
  </si>
  <si>
    <t>24. Pengaspalan Jalan Dukuhsalam</t>
  </si>
  <si>
    <t>25. Pengaspalan Jalan Dukuhturi - Kepandean</t>
  </si>
  <si>
    <t>26. Pengaspalan Jalan Dukuhwaru - Blubuk</t>
  </si>
  <si>
    <t>27. Pengaspalan Jalan grobogwetan - Curug</t>
  </si>
  <si>
    <t>28. Pengaspalan Jalan Gumayun -Dukuhdamu (Dari SMK Baruna Dukhwaru)</t>
  </si>
  <si>
    <t>29. Pengaspalan jalan Kabupaten Ruas Kupu-Sidapurna Di Desa Sidapurna</t>
  </si>
  <si>
    <t>30. Pengaspalan Jalan Kalisoka Desa Wisata</t>
  </si>
  <si>
    <t>31. Pengaspalan jalan Kebupaten ruas Kepandean-Bandung di di Desa Kepandean</t>
  </si>
  <si>
    <t>32. Pengaspalan Jalan Kelurahan Kudaile Jl Wijayakusuma</t>
  </si>
  <si>
    <t>33. Pengaspalan Jalan Kelurahan Slawi Wetan</t>
  </si>
  <si>
    <t>34. Pengaspalan Jalan Kepandean - Kota Tegal</t>
  </si>
  <si>
    <t>35. Pengaspalan Jalan Lawatan-Pengarasan-Kupu</t>
  </si>
  <si>
    <t>36. Pengaspalan Jalan Lebaksiu - Sidamulya</t>
  </si>
  <si>
    <t>37. Pengaspalan Jalan Penghubung Dukuhdamu- Slarangkidul</t>
  </si>
  <si>
    <t>38. Pengaspalan Jalan Ruas Grobog Wetan - Grobog Kulon</t>
  </si>
  <si>
    <t>39. Pengaspalan jalan ruas jalan adiwerna - pesawahan</t>
  </si>
  <si>
    <t>40. Pengaspalan Jalan Ruas Jalan Balapulang Wetan - Balapulang Kulon</t>
  </si>
  <si>
    <t>41. Pengaspalan Jalan Ruas Jalan Danawarih - Sangkanjaya ( Depan Pondok Al Abror )</t>
  </si>
  <si>
    <t>42. Pengaspalan Jalan Ruas Jalan halmahera kudaile Kec. Slawi</t>
  </si>
  <si>
    <t>43. Pengaspalan Jalan Ruas Jalan Jalan jawa kudaile Kec. Slawi</t>
  </si>
  <si>
    <t>44. Pengaspalan jalan ruas jalan kaligayam - Sutapranan</t>
  </si>
  <si>
    <t>45. Pengaspalan Jalan Ruas Jalan Karanganyar - Pagerbarang</t>
  </si>
  <si>
    <t>46. Pengaspalan Jalan Ruas Jalan Kedungsukun Gumalar</t>
  </si>
  <si>
    <t>47. Pengaspalan jalan ruas jalan pacul - kademangaran</t>
  </si>
  <si>
    <t>48. Pengaspalan Jalan ruas jalan pagerbarang kedungsugih</t>
  </si>
  <si>
    <t>49. Pengaspalan jalan ruas jalan pecangakan lawatan</t>
  </si>
  <si>
    <t>50. Pengaspalan Jalan Ruas Jalan Pedeslohor - Pedeslohor</t>
  </si>
  <si>
    <t>51. Pengaspalan jalan ruas jalan Tembok luwung -Tembok luwung</t>
  </si>
  <si>
    <t>52. Pengaspalan Jalan Ruas Jalan Wanalaba - Cibunar</t>
  </si>
  <si>
    <t>53. Pengaspalan Jalan Ruas Jatiwangi - Pagerbarang</t>
  </si>
  <si>
    <t>54. Pengaspalan Jalan Ruas Kebasen - Kebasen (Jagakarsa)</t>
  </si>
  <si>
    <t>55. Pengaspalan Jalan Ruas Kedungsukun - Pedeslohor</t>
  </si>
  <si>
    <t>56. Pengaspalan Jalan Ruas Lemahduwur - Pesarean</t>
  </si>
  <si>
    <t>57. Pengaspalan Jalan Ruas Sulang Pacul - Getaskerep</t>
  </si>
  <si>
    <t>58. Pengaspalan Jalan Setu-Jatirawa</t>
  </si>
  <si>
    <t>59. Pengaspalan Ruas jalan Dermasuci -Pener</t>
  </si>
  <si>
    <t>60. Pengaspalan Ruas Jalan Kaladawa - Wangandawa (di Desa Getaskerep)</t>
  </si>
  <si>
    <t>61. Pengaspalan Ruas Jalan Sesepan - Sesepan</t>
  </si>
  <si>
    <t>62. Pengaspalan/Sand Sheet Jalan Ruas Dukuh Randu â€“ Harjasari</t>
  </si>
  <si>
    <t>63. Pengecoran/Rigit Beton Ruas Jalan Kaladawa - Wangandawa (di Desa Getaskerep)</t>
  </si>
  <si>
    <t>64. Peningkatan jalan bantingan - kaligayam</t>
  </si>
  <si>
    <t>65. Peningkatan Jalan Batunyana - Gunungjati Kecamatan Bojong</t>
  </si>
  <si>
    <t>66. Peningkatan Jalan Bojong -Tuwel Kecamatan Bojong</t>
  </si>
  <si>
    <t>67. Peningkatan Jalan Desa Ruas Cibunar - Cibunar</t>
  </si>
  <si>
    <t>68. Peningkatan jalan Dr. Wahidin, Slawi</t>
  </si>
  <si>
    <t>69. Peningkatan Jalan Dukuh Cempaka ke selatan ruas Gembongdadi Kebandingan</t>
  </si>
  <si>
    <t>70. Peningkatan jalan dukungbangsa wotgalih</t>
  </si>
  <si>
    <t>71. Peningkatan Jalan Harjowinanggun - Kalibakung</t>
  </si>
  <si>
    <t>72. Peningkatan jalan jatilawang - cenang</t>
  </si>
  <si>
    <t>73. Peningkatan jalan jatinegara gantungan</t>
  </si>
  <si>
    <t>74. Peningkatan jalan jatinegara lembasari</t>
  </si>
  <si>
    <t>75. Peningkatan jalan jembayat - jembayat</t>
  </si>
  <si>
    <t>76. Peningkatan Jalan Kajenengan -Kalijambu</t>
  </si>
  <si>
    <t>77. Peningkatan jalan kalisalak - margasari</t>
  </si>
  <si>
    <t>78. Peningkatan jalan Karangayar-Kertaharja kecamatan Pagerbarang</t>
  </si>
  <si>
    <t>79. Peningkatan Jalan Kedawung - SMP 2 Slarang Lor</t>
  </si>
  <si>
    <t>80. Peningkatan Jalan Kejenengan - Kalijambu Kecamatan Bojong</t>
  </si>
  <si>
    <t>81. Peningkatan Jalan Kepodang Slawi Kulon</t>
  </si>
  <si>
    <t>82. Peningkatan jalan Kertaharja-Karanganyar</t>
  </si>
  <si>
    <t>83. Peningkatan Jalan KH. Mas Mansur Slawi</t>
  </si>
  <si>
    <t>84. Peningkatan Jalan Krasak - Jatipelag</t>
  </si>
  <si>
    <t>85. Peningkatan Jalan Penghubung Pedagangan - Trayeman</t>
  </si>
  <si>
    <t>86. Peningkatan jalan prupuk selatan Sidamulya</t>
  </si>
  <si>
    <t>87. Peningkatan jalan purwahamba-jatibogor-sidaharja (jln kendalan)</t>
  </si>
  <si>
    <t>88. Peningkatan jalan rabat beton Pasar Kepel - Maribaya</t>
  </si>
  <si>
    <t>89. Peningkatan jalan rabat beton ruas jalan Kemantran - Kepunduhan</t>
  </si>
  <si>
    <t>90. Konsolidasi Paket Pekerjaan Peningkatan Jalan Ruas Banjaranyar â€“ Batuagung; Peningkatan Jalan Ruas Bukateja â€“ Batuagung ; Peningkatan Jalan Ruas Bukateja - Kalibakung</t>
  </si>
  <si>
    <t>91. Peningkatan Jalan Ruas Banjarturi - Rangimulya</t>
  </si>
  <si>
    <t>92. Peningkatan Jalan Ruas Danaraja â€“ Jembayat</t>
  </si>
  <si>
    <t>93. Peningkatan Jalan Ruas Dukuh Cenang â€“ Cenggini</t>
  </si>
  <si>
    <t>94. Peningkatan Jalan Ruas Harjasari - Harjasari Kec. Suradadi</t>
  </si>
  <si>
    <t>95. Peningkatan jalan ruas jalan amangkurat tegalwangi</t>
  </si>
  <si>
    <t>96. Peningkatan jalan Ruas jalan Balamoa - Gembongdadi</t>
  </si>
  <si>
    <t>97. Peningkatan jalan ruas jalan batumirah - dukuhbenda</t>
  </si>
  <si>
    <t>98. Peningkatan Jalan Ruas Jalan Bersole - Gumalar</t>
  </si>
  <si>
    <t>99. Peningkatan jalan ruas jalan bumijawa kota - bumijawa</t>
  </si>
  <si>
    <t>100. Peningkatan Jalan Ruas Jalan Dawuhan - Kemanggungan</t>
  </si>
  <si>
    <t>101. Peningkatan jalan ruas jalan dukuhbenda - cintamanik</t>
  </si>
  <si>
    <t>102. Peningkatan jalan ruas jalan dukuhturi - sidakaton</t>
  </si>
  <si>
    <t>103. Peningkatan jalan Ruas jalan Gembongkulon - Pekiringan ( Kalimati)</t>
  </si>
  <si>
    <t>104. Peningkatan Jalan Ruas jalan Harjosari Kidul - Harjosari Lor</t>
  </si>
  <si>
    <t>105. Peningkatan jalan ruas jalan harjosari kidul - kalisoka</t>
  </si>
  <si>
    <t>106. Peningkatan jalan Ruas jalan II Ujungrusi ( jalan seruni - kenari )</t>
  </si>
  <si>
    <t>107. Peningkatan Jalan Ruas Jalan Jedug - Pagerbarang</t>
  </si>
  <si>
    <t>108. Peningkatan jalan ruas jalan kaligayam - pesayangan</t>
  </si>
  <si>
    <t>109. Peningkatan jalan Ruas jalan Kalijambe - Margapadang</t>
  </si>
  <si>
    <t>110. Peningkatan Jalan Ruas Jalan Kalikangkung - Grobog Wetan</t>
  </si>
  <si>
    <t>111. Peningkatan jalan ruas jalan kaliwadas - pagedangan</t>
  </si>
  <si>
    <t>112. Peningkatan jalan ruas jalan karangwuluh - lodadi</t>
  </si>
  <si>
    <t>113. Peningkatan jalan ruas jalan kebandingan - dk karangsari</t>
  </si>
  <si>
    <t>114. Peningkatan jalan ruas jalan kepandean - kalinyamat</t>
  </si>
  <si>
    <t>115. Peningkatan Jalan Ruas Jalan Kertaharja - Jatirokeh</t>
  </si>
  <si>
    <t>116. Peningkatan Jalan Ruas Jalan Kesamiran - Bulakwaru (Dukuh Kesambi)</t>
  </si>
  <si>
    <t>117. Peningkatan Jalan Ruas Jalan kesemen kertasari</t>
  </si>
  <si>
    <t>118. Peningkatan jalan Ruas jalan KH. A. Dahlan, Slawi</t>
  </si>
  <si>
    <t>119. Peningkatan jalan ruas jalan lebeteng purbasana (lokasi desa karangmangu)</t>
  </si>
  <si>
    <t>120. Peningkatan Jalan Ruas Jalan Margasari - Jedug</t>
  </si>
  <si>
    <t>121. Peningkatan jalan Ruas jalan Mindaka - Kemantran</t>
  </si>
  <si>
    <t>122. Peningkatan jalan ruas jalan pedeslohor - kalipucang</t>
  </si>
  <si>
    <t>123. Peningkatan Jalan Ruas Jalan Pegirikan - Bedug</t>
  </si>
  <si>
    <t>124. Peningkatan jalan ruas jalan Pengarasan - ketanggungan</t>
  </si>
  <si>
    <t>125. Peningkatan Jalan Ruas jalan Pepedan - Pepedan ( arah pagongan )</t>
  </si>
  <si>
    <t>126. Peningkatan jalan ruas jalan setu - Kabukan</t>
  </si>
  <si>
    <t>127. Peningkatan jalan ruas jalan sidakaton - kaligangsa</t>
  </si>
  <si>
    <t>128. Peningkatan jalan ruas jalan sidakaton - krandon</t>
  </si>
  <si>
    <t>129. Peningkatan jalan ruas jalan sigedong - dukuhbenda</t>
  </si>
  <si>
    <t>130. Peningkatan jalan ruas jalan singkil gumalar</t>
  </si>
  <si>
    <t>131. Peningkatan Jalan Ruas Jalan Surokidul - Pagerbarang</t>
  </si>
  <si>
    <t>132. Peningkatan jalan ruas jalan Tarub Kedokansayang</t>
  </si>
  <si>
    <t>133. Peningkatan jalan ruas jalan tembok luwung - grobog kulon</t>
  </si>
  <si>
    <t>134. Peningkatan jalan Ruas jalan Traju - Pagerkasih</t>
  </si>
  <si>
    <t>135. Peningkatan jalan Ruas jalan Ujungrusi - Banjaran ( di desa ujungrusi )</t>
  </si>
  <si>
    <t>136. Peningkatan jalan ruas jembayat - rancakeling</t>
  </si>
  <si>
    <t>137. Peningkatan jalan ruas jl krikil - cintamanik</t>
  </si>
  <si>
    <t>138. Peningkatan Jalan Ruas Kaligayam â€“ Dukuh Mlodok</t>
  </si>
  <si>
    <t>139. Peningkatan Jalan Ruas Kalisoka - Pedagangan</t>
  </si>
  <si>
    <t>140. Peningkatan Jalan Ruas Karangdawa â€“ Jatilaba</t>
  </si>
  <si>
    <t>141. Peningkatan Jalan Ruas Mangunsaren - Margapadang</t>
  </si>
  <si>
    <t>142. Peningkatan jalan ruas mucanglarang - Dukuhrawa Kecamatan Bumijawa</t>
  </si>
  <si>
    <t>143. Peningkatan jalan Ruas pakulaut - dukuhtengah</t>
  </si>
  <si>
    <t>144. Peningkatan Jalan Ruas Peleman - Sidaharja</t>
  </si>
  <si>
    <t>145. Peningkatan Jalan Ruas Pesarean - Surokidul</t>
  </si>
  <si>
    <t>146. Peningkatan Jalan Ruas Randusari - Jatipelag</t>
  </si>
  <si>
    <t>147. Peningkatan Jalan Ruas Sidaharja - Jatibogor ( di Sidaharja )</t>
  </si>
  <si>
    <t>148. Peningkatan Jalan Semboja RW 03 Kelurahan Pakembaran Kecamatan Slawi</t>
  </si>
  <si>
    <t>149. Peningkatan Jalan Sesepan - Danawarih</t>
  </si>
  <si>
    <t>150. Peningkatan Jalan Slarang Kidul - Kambangan</t>
  </si>
  <si>
    <t>151. Peningkatan jln rabat beton Jatilawang-kemantran-Bongkok</t>
  </si>
  <si>
    <t>152. Peningkatan jl ruas jalan dukuh siketi glempang</t>
  </si>
  <si>
    <t>153. Peningkatan jl ruas jalan sumbaga - senggang</t>
  </si>
  <si>
    <t>154. Peningkatan jl ruas jl Bumijawa - gupakan</t>
  </si>
  <si>
    <t>155. Peningkatan jl ruas jl cerih kajenengan</t>
  </si>
  <si>
    <t>156. Peningkatan jl ruas jl dukuhrawa - dukuh benda</t>
  </si>
  <si>
    <t>157. Peningkatan jl ruas jl sumbaga - carul</t>
  </si>
  <si>
    <t>158. Peningkatan jl ruas jl sumbaga sokasari</t>
  </si>
  <si>
    <t>159. Peningkatan Ruas Jalan Bali 2 Kecamatan Slawi</t>
  </si>
  <si>
    <t>160. Peningkatan Ruas Jalan Bojong - Sokasari</t>
  </si>
  <si>
    <t>161. Peningkatan Ruas Jalan Sumbaga - Sokasari</t>
  </si>
  <si>
    <t>162. Peningkatan Ruas Jalan Sumbaga - Sokatengah</t>
  </si>
  <si>
    <t>163. Perbaikan Jalan Ruas Jalan Grobog Kulon - Bedug</t>
  </si>
  <si>
    <t>164. Perbaikan jalan ruas jalan Jatirawa â€“ Grobogwetan</t>
  </si>
  <si>
    <t>165. Perbaikan jalan ruas jalan jatirawa - kabukan</t>
  </si>
  <si>
    <t>166. Perbaikan/Pengaspalan Jalan Ruas Jalan Karangmalang - Karangmalang</t>
  </si>
  <si>
    <t>167. Rabat beton Desa Maribaya Ruas Maribaya Plumbungan bawah rel</t>
  </si>
  <si>
    <t>168. Rabat Beton jalan jatilawang ruas jalan jatilawang - jatilawang ( depan KUD Kramat )</t>
  </si>
  <si>
    <t>169. Rabat Beton Jalan ruas jalan Dukuhjatikidul-Cacaban</t>
  </si>
  <si>
    <t>170. Rabat Beton Jalan Warureja - Banjaragung</t>
  </si>
  <si>
    <t>171. Rabat Beton Ruas Gembongdadi - Lodadi</t>
  </si>
  <si>
    <t>172. Rabat Beton Ruas jalan Kesadikan - Dukuh Kebanyon ( di dukuh kajongan, Desa Kesadikan, Kec. Tarub</t>
  </si>
  <si>
    <t>173. Rabat Beton Ruas Purwahamba - Blubuk</t>
  </si>
  <si>
    <t>174. Rigit Beton Jalan Kepunduhan - Ketileng</t>
  </si>
  <si>
    <t>175. Rigit Beton Ruas Jalan Getaskerep - Kemanggungan</t>
  </si>
  <si>
    <t>176. Rigit beton ruas jalan jatimulya kertasari</t>
  </si>
  <si>
    <t>177. Rigit beton ruas jalan kaladawa - mejasem</t>
  </si>
  <si>
    <t>178. Rigit beton Ruas jalan Karangjati - Bulakwaru</t>
  </si>
  <si>
    <t>179. Rigit beton ruas jalan kedungkelor - banjaragung</t>
  </si>
  <si>
    <t>180. Rigit beton ruas jalan Kedungkelor - Kedungsambi Dukuh Panjatan</t>
  </si>
  <si>
    <t>181. Rigit Beton Ruas Jalan Margapadang - Kesamiran</t>
  </si>
  <si>
    <t>182. Rigit Beton Ruas Jalan Peleman - Sidaharja</t>
  </si>
  <si>
    <t>183. Rigit Beton Ruas Jalan Sulang - Getaskerep</t>
  </si>
  <si>
    <t>184. Rigit beton ruas jalan Warureja -Banjaragung</t>
  </si>
  <si>
    <t>185. Rigit beton ruas jl Demangharjo - Demangharjo Timur</t>
  </si>
  <si>
    <t>186. Rigit beton ruas jl Kebandingan dukuh bandung</t>
  </si>
  <si>
    <t>187. Biaya Umum</t>
  </si>
  <si>
    <t>188. Konsultan Perencana Peningkatan Jalan Balamoa - Bader</t>
  </si>
  <si>
    <t>189. Konsultan Pengawas Peningkatan Jalan Balamoa - Bader</t>
  </si>
  <si>
    <t>190. Konsultan Perencana Peningkatan Jalan Suradadi - Bader</t>
  </si>
  <si>
    <t>191. Konsultan Pengawas Peningkatan Jalan Suradadi - Bader</t>
  </si>
  <si>
    <t>192. Konsultan Perencana Peningkatan jalan Bader - Kedungjati</t>
  </si>
  <si>
    <t>193. Konsultan Pengawas Peningkatan jalan Bader - Kedungjati</t>
  </si>
  <si>
    <t>194. Konsultan Perencana Peningkatan Jalan Dukuhbujil Dukuhbenda Sirampog</t>
  </si>
  <si>
    <t>195. Konsultan Pengawas Peningkatan Jalan Dukuhbujil Dukuhbenda Sirampog</t>
  </si>
  <si>
    <t>196. Konsultan Perencana Peningkatan Jalan Kalijambe - Mangunsaren - Kesamiran</t>
  </si>
  <si>
    <t>197. Konsultan Pengawas Peningkatan Jalan Kalijambe - Mangunsaren - Kesamiran</t>
  </si>
  <si>
    <t>198. Konsultan Perencana Peningkatan Jalan Bumiharja - Kesadikan</t>
  </si>
  <si>
    <t>199. Konsultan Pengawas Peningkatan Jalan Bumiharja - Kesadikan</t>
  </si>
  <si>
    <t>200. Konsultan Perencana Peningkatan jalan Cintamanik Dukuhbenda</t>
  </si>
  <si>
    <t>201. Konsultan Pengawas Peningkatan Jalan Kebandingan - Gembongdadi</t>
  </si>
  <si>
    <t>202. Konsultan Perencana Peningkatan Jalan Kebandingan - Gembongdadi</t>
  </si>
  <si>
    <t>203. Konsultan Perencana Pemeliharaan Berkala Jalan Talang - Tarub</t>
  </si>
  <si>
    <t>204. Konsultan Perencana Pemeliharaan Berkala Jalan Kaladawa - Mejasem</t>
  </si>
  <si>
    <t>205. Konsultan Perencana Pemeliharaan Berkala Jalan Kalikangkung - Pangkah</t>
  </si>
  <si>
    <t>206. Konsultan Perencana Pemeliharaan Berkala Jalan Curug - Pangkah</t>
  </si>
  <si>
    <t>207. Konsultan Perencana Pemeliharaan Berkala Jalan KH. Wahid Hasyim</t>
  </si>
  <si>
    <t>208. Konsultan Perencana Pemeliharaan Berkala Jalan Tegalandong - Durensawit</t>
  </si>
  <si>
    <t>209. Konsultan Perencana Pemeliharaan Berkalan Jalan Yamansari - Babakan</t>
  </si>
  <si>
    <t>210. Konsultan Perencana Pemeliharaan Berkalan Jalan Tegalwangi - Dukuhturi</t>
  </si>
  <si>
    <t>211. Konsultan Pengawas Peningkatan jalan Cintamanik Dukuhbenda</t>
  </si>
  <si>
    <t>212. Konsultan Perencana Peningkatan Jalan Jalingkos - Kendalserut</t>
  </si>
  <si>
    <t>213. Konsultan Perencana Peningkatan Jalan Balamoa - Kemantran</t>
  </si>
  <si>
    <t>214. Konsultan Perencana Peningkatan Jalan Balamoa - Pangkah</t>
  </si>
  <si>
    <t>215. Konsultan Perencana Peningkatan Jalan Pangkah - Bogares</t>
  </si>
  <si>
    <t>216. Konsultan Pengawas Peningkatan Jalan Jalingkos - Kendalserut</t>
  </si>
  <si>
    <t>217. Konsultan Pengawas Peningkatan Jalan Balamoa - Kemantran</t>
  </si>
  <si>
    <t>218. Konsultan Pengawas Peningkatan Jalan Pangkah - Bogares</t>
  </si>
  <si>
    <t>219. Konsultan Pengawas Pemeliharaan Berkala Jalan Talang - Tarub</t>
  </si>
  <si>
    <t>220. Konsultan Pengawas Pemeliharaan Berkala Jalan Kaladawa - Mejasem</t>
  </si>
  <si>
    <t>221. Konsultan Pengawas Pemeliharaan Berkala Jalan Kalikangkung - Pangkah</t>
  </si>
  <si>
    <t>222. Konsultan Pengawas Pemeliharaan Berkala Jalan Curug - Pangkah</t>
  </si>
  <si>
    <t>223. Konsultan Pengawas Pemeliharaan Berkala Jalan KH. Wahid Hasyim</t>
  </si>
  <si>
    <t>224. Konsultan Pengawas Pemeliharaan Berkalan Jalan Tegalwangi - Dukuhturi</t>
  </si>
  <si>
    <t>225. Konsultan Pengawas Pemeliharaan Berkalan Jalan Yamansari - Babakan</t>
  </si>
  <si>
    <t>38.739.000</t>
  </si>
  <si>
    <t>226. Konsultan Pengawas Pemeliharaan Berkala Jalan Tegalandong - Durensawit</t>
  </si>
  <si>
    <t>227. Konsultan Pengawas Pemeliharaan Berkala Jalan Gumayun - Kalisoka</t>
  </si>
  <si>
    <t>228. Konsultan Perencana Pemeliharaan Berkala Jalan RP. Suroso</t>
  </si>
  <si>
    <t>229. Konsultan Pengawas Pemeliharaan Berkala Jalan RP. Suroso</t>
  </si>
  <si>
    <t>230. Konsultan Perencana Pemeliharaan Berkala Jalan Gumayun - Kalisoka</t>
  </si>
  <si>
    <t>231. Peningkatan Jalan Balamoa - Bader</t>
  </si>
  <si>
    <t>232. Peningkatan Jalan Suradadi - Bader</t>
  </si>
  <si>
    <t>233. Peningkatan jalan Bader - Kedungjati</t>
  </si>
  <si>
    <t>234. Peningkatan jalan Sukareja - Kesemen</t>
  </si>
  <si>
    <t>235. Peningkatan jalan Kertasari - Kesemen</t>
  </si>
  <si>
    <t>236. Peningkatan Jalan Dukuhbujil Dukuhbenda Sirampog</t>
  </si>
  <si>
    <t>237. Peningkatan Jalan Kalijambe - Mangunsaren - Kesamiran</t>
  </si>
  <si>
    <t>238. Peningkatan Jalan Bumiharja - Kesadikan</t>
  </si>
  <si>
    <t>239. Peningkatan jalan Cintamanik Dukuhbenda</t>
  </si>
  <si>
    <t>240. Peningkatan Jalan Jalingkos - Kendalserut</t>
  </si>
  <si>
    <t>241. Peningkatan Jalan Balamoa - Kemantran</t>
  </si>
  <si>
    <t>242. Peningkatan Jalan Tonggara - Kebandingan</t>
  </si>
  <si>
    <t>243. Peningkatan Jalan Balamoa - Pangkah</t>
  </si>
  <si>
    <t>244. Peningkatan Jalan Pangkah - Bogares</t>
  </si>
  <si>
    <t>245. Peningkatan Jalan Kebandingan - Gembongdadi</t>
  </si>
  <si>
    <t>246. Pemeliharaan Berkala Jalan Talang - Tarub</t>
  </si>
  <si>
    <t>247. Pemeliharaan Berkala Jalan Kaladawa - Mejasem</t>
  </si>
  <si>
    <t>248. Pemeliharaan Berkala Jalan Kalikangkung - Pangkah</t>
  </si>
  <si>
    <t>249. Pemeliharaan Berkala Jalan Curug - Pangkah</t>
  </si>
  <si>
    <t>250. Pemeliharaan Berkala Jalan KH. Wahid Hasyim</t>
  </si>
  <si>
    <t>251. Pemeliharaan Berkala Jalan RP. Suroso</t>
  </si>
  <si>
    <t>252. Pemeliharaan Berkala Jalan Gumayun - Kalisoka</t>
  </si>
  <si>
    <t>253. Pemeliharaan Berkala Jalan Tegalandong - Durensawit</t>
  </si>
  <si>
    <t>254. Pemeliharaan Berkalan Jalan Yamansari - Babakan</t>
  </si>
  <si>
    <t>255. Pemeliharaan Berkalan Jalan Tegalwangi - Dukuhturi</t>
  </si>
  <si>
    <t>1.220.899.383</t>
  </si>
  <si>
    <t>256. Konsultan Pengawas Peningkatan Jalan Balamoa - Pangkah</t>
  </si>
  <si>
    <t>257. Konsultan Pengawas Pembangunan Rabat Beton Kabukan-Kabukan</t>
  </si>
  <si>
    <t>258. Konsultan Pengawas Pengaspalan Jalan Bedug -Grobog Kulon</t>
  </si>
  <si>
    <t>259. Konsultan Pengawas Pengaspalan Jalan Dukuhsalam</t>
  </si>
  <si>
    <t>260. Konsultan Pengawas Pengaspalan Jalan Dukuhturi - Kepandean</t>
  </si>
  <si>
    <t>261. Konsultan Pengawas Pengaspalan Jalan Dukuhwaru - Blubuk</t>
  </si>
  <si>
    <t>262. Konsultan Pengawas Pengaspalan Jalan Kalisoka Desa Wisata</t>
  </si>
  <si>
    <t>263. Konsultan Pengawas pengaspalan Jalan Lebaksiu - Sidamulya</t>
  </si>
  <si>
    <t>264. Konsultan Pengawas Pengecoran/Rigit Beton Ruas Jalan Kaladawa - Wangandawa (di Desa Getaskerep)</t>
  </si>
  <si>
    <t>265. Konsultan Pengawas Peningkatan jalan rabat beton Pasar Kepel - Maribaya</t>
  </si>
  <si>
    <t>266. Konsultan Pengawas Peningkatan jalan rabat beton ruas jalan Kemantran - Kepunduhan</t>
  </si>
  <si>
    <t>267. Konsultan Pengawas Peningkatan Jalan Ruas Banjarturi - Rangimulya</t>
  </si>
  <si>
    <t>268. Konsultan Pengawas Peningkatan jalan Ruas jalan Balamoa - Gembongdadi</t>
  </si>
  <si>
    <t>269. Konsultan Pengawas Rabat Beton Jalan ruas jalan Dukuhjatikidul - Cacaban</t>
  </si>
  <si>
    <t>270. Konsultan Pengawas Rabat Beton Ruas Gembongdadi - Lodadi</t>
  </si>
  <si>
    <t>271. Konsultan Pengawas Rabat Beton Ruas Purwahamba - Blubuk</t>
  </si>
  <si>
    <t>272. Konsultan Pengawas Rigit beton Ruas jalan Karangjati - Bulakwaru</t>
  </si>
  <si>
    <t>273. Konsultan Perencanan Peningkatan jalan rabat beton ruas jalan Kemantran - Kepunduhan</t>
  </si>
  <si>
    <t>274. Konsultan Perencana Pembangunan Rabat Beton Kabukan-Kabukan</t>
  </si>
  <si>
    <t>275. Konsultan Perencana Pengaspalan Jalan Bedug -Grobog Kulon</t>
  </si>
  <si>
    <t>276. Konsultan Perencana Pengaspalan Jalan Dukuhsalam</t>
  </si>
  <si>
    <t>277. Konsultan Perencana Pengaspalan Jalan Dukuhturi - Kepandean</t>
  </si>
  <si>
    <t>278. Konsultan Perencana Pengaspalan Jalan Dukuhwaru - Blubuk</t>
  </si>
  <si>
    <t>279. Konsultan Perencana Pengaspalan Jalan Kalisoka Desa Wisata</t>
  </si>
  <si>
    <t>280. Konsultan Perencana pengaspalan Jalan Lebaksiu - Sidamulya</t>
  </si>
  <si>
    <t>281. Konsultan Perencana Pengecoran/Rigit Beton Ruas Jalan Kaladawa - Wangandawa (di Desa Getaskerep)</t>
  </si>
  <si>
    <t>282. Konsultan Perencana Peningkatan jalan rabat beton Pasar Kepel - Maribaya</t>
  </si>
  <si>
    <t>283. Konsultan Perencana Peningkatan Jalan Ruas Banjarturi - Rangimulya</t>
  </si>
  <si>
    <t>284. Konsultan Perencana Peningkatan jalan Ruas jalan Balamoa - Gembongdadi</t>
  </si>
  <si>
    <t>285. Konsultan Perencana Rabat Beton Jalan ruas jalan Dukuhjatikidul - Cacaban</t>
  </si>
  <si>
    <t>286. Konsultan Perencana Rabat Beton Ruas Gembongdadi - Lodadi</t>
  </si>
  <si>
    <t>287. Konsultan Perencana Rabat Beton Ruas Purwahamba - Blubuk</t>
  </si>
  <si>
    <t>288. Konsultan Perencana Rigit beton Ruas jalan Karangjati - Bulakwaru</t>
  </si>
  <si>
    <t>289. Konsultan Pengawas Peningkatan Jalan Sumbaga - Senggang</t>
  </si>
  <si>
    <t>290. Penyusunan DED Pemeliharaan Berkala Jalan Senggang - Karangjambu</t>
  </si>
  <si>
    <t>291. Penyusunan DED Peningkatan Jalan Banjaran - Balamoa</t>
  </si>
  <si>
    <t>292. Penyusunan DED Peningkatan Jalan Koridor pasar Suradadi - Kedungjati</t>
  </si>
  <si>
    <t>293. Penyusunan DED Pemeliharaan Berkala Jalan Bojong - Tuwel</t>
  </si>
  <si>
    <t>294. Penyusunan DED Pelebaran Jalan Singkil - Kalipucang</t>
  </si>
  <si>
    <t>295. Penyusunan DED Peningkatan Jalan Jatibogor - Kertasari</t>
  </si>
  <si>
    <t>296. Peningkatan Jalan Kesadikan - Kepel</t>
  </si>
  <si>
    <t>297. Peningkatan Jalan Padaharja - Jatilawang</t>
  </si>
  <si>
    <t>298. Peningkatan Jalan Kramat - Plumbungan</t>
  </si>
  <si>
    <t>299. Peningkatan Jalan Kepunduhan - Tanjungharja</t>
  </si>
  <si>
    <t>300. Peningkatan Jalan Bongkok - Kertayasa</t>
  </si>
  <si>
    <t>301. Peningkatan Jalan Tanjungharja - Plumbungan</t>
  </si>
  <si>
    <t>302. Peningkatan Jalan Kepel - Kesadikan</t>
  </si>
  <si>
    <t>303. Peningkatan Jalan Tanjungharja - Karangmaja</t>
  </si>
  <si>
    <t>304. Peningkatan Jalan Kertayasa - Kramat</t>
  </si>
  <si>
    <t>305. Peningkatan Jalan Jombor - Jatimulya</t>
  </si>
  <si>
    <t>306. Peningkatan Jalan Jatimulya - Bulakbanteng</t>
  </si>
  <si>
    <t>307. Peningkatan Jalan Harjasari - Jatimulya di Harjasari</t>
  </si>
  <si>
    <t>308. Peningkatan Jalan Jatibogor - Simendot</t>
  </si>
  <si>
    <t>309. Peningkatan Jalan Sigentong - Wanagopa</t>
  </si>
  <si>
    <t>310. Peningkatan Jalan Penarukan - Kaliwadas</t>
  </si>
  <si>
    <t>311. Peningkatan Jalan Harjosari Kidul - Harjosari Kidul</t>
  </si>
  <si>
    <t>312. Peningkatan Jalan Kaladawa - Bengle</t>
  </si>
  <si>
    <t>313. Peningkatan Jalan Brekat - Bulakwaru</t>
  </si>
  <si>
    <t>314. Peningkatan Jalan Sidakaton - Sampang</t>
  </si>
  <si>
    <t>315. Peningkatan Jalan Gantungan - Argatawang</t>
  </si>
  <si>
    <t>316. Peningkatan Jalan Capar - Padasari</t>
  </si>
  <si>
    <t>317. Peningkatan Jalan Pasar Pangkah - Paketiban</t>
  </si>
  <si>
    <t>318. Peningkatan Jalan Kendalserut - Pangkah</t>
  </si>
  <si>
    <t>319. Peningkatan Jalan Selapura - Blubuk</t>
  </si>
  <si>
    <t>320. Peningkatan Jalan Blubuk - Blubuk</t>
  </si>
  <si>
    <t>321. Peningkatan Jalan Blubuk - Kedungsukun</t>
  </si>
  <si>
    <t>322. Lanjutan Peningkatan Jalan Kali Mblubu - Jrakah</t>
  </si>
  <si>
    <t>323. Peningkatan Jalan Balaradin - Lebakgowah</t>
  </si>
  <si>
    <t>324. Peningkatan Jalan Lebaksiu Lor - Sidamulya</t>
  </si>
  <si>
    <t>325. Peningkatan Jalan Kambing (Arah Harjosari Kidul)</t>
  </si>
  <si>
    <t>326. Peningkatan Jalan Sangkanjaya - Danareja</t>
  </si>
  <si>
    <t>327. Peningkatan Jalan Danareja - Kedungwungu</t>
  </si>
  <si>
    <t>328. Peningkatan Jalan Cilongok - Tembongwah</t>
  </si>
  <si>
    <t>329. Peningkatan Jalan Danawarih - Harjawinangun</t>
  </si>
  <si>
    <t>330. Peningkatan Jalan Balapulang - Balaradin</t>
  </si>
  <si>
    <t>331. Peningkatan Jalan Timbangreja - Sangkanjaya</t>
  </si>
  <si>
    <t>332. Peningkatan Jalan Karangjambu - Cilongok</t>
  </si>
  <si>
    <t>333. Peningkatan Jalan Prupuk Utara - Dukuh Bojong</t>
  </si>
  <si>
    <t>334. Peningkatan Jalan Pakulaut - Wanasari</t>
  </si>
  <si>
    <t>335. Peningkatan Jalan Kali Pagerwangi - Jatiwangi</t>
  </si>
  <si>
    <t>336. Peningkatan Jalan Mulyoharjo - Balapulang Kulon</t>
  </si>
  <si>
    <t>337. Peningkatan Jalan Mulyoharjo - Cibunar</t>
  </si>
  <si>
    <t>338. Peningkatan Jalan Batunyana - Diwung (Depan Puskesmas Danasari)</t>
  </si>
  <si>
    <t>339. Peningkatan Jalan Simpar - Kajenengan di Kajenengan</t>
  </si>
  <si>
    <t>340. Peningkatan Jalan Dukuh Gergintung - Dukuh Gergintung</t>
  </si>
  <si>
    <t>341. Peningkatan Jalan Cempaka - Krikil</t>
  </si>
  <si>
    <t>342. Peningkatan Jalan Gunung Agung - Cempaka</t>
  </si>
  <si>
    <t>343. Pengaspalan Jalan Ruas Kedungjati - Cipero Kec. Warurejo</t>
  </si>
  <si>
    <t>344. Pengaspalan ruas jalan Banjarturi - Banjaragung</t>
  </si>
  <si>
    <t>345. Pengaspalan ruas jalan Sukareja - Kreman</t>
  </si>
  <si>
    <t>346. Peningkatan jalan Ruas Jalan Nanas</t>
  </si>
  <si>
    <t>347. Pengaspalan Ruas Jalan Kebandingan Dukuh Bandung Kec. Warurejo</t>
  </si>
  <si>
    <t>348. Pengaspalan Ruas Jalan Wanagopa - Kreman</t>
  </si>
  <si>
    <t>349. Peningkatan Jalan Pesarean Lemah Duwur(Amangkurat)</t>
  </si>
  <si>
    <t>350. Peningkatan jalan Ruas Carul - Sumbaga</t>
  </si>
  <si>
    <t>351. Peningkatan jl ruas dukuhrawa -cintamanik</t>
  </si>
  <si>
    <t>352. Peningkatan jalan Kajenengan - Pucangluwuk</t>
  </si>
  <si>
    <t>353. Peningkatan jalan Pertigaan MAN - Kertaharja</t>
  </si>
  <si>
    <t>354. Peningkatan jalan ruas cenggini - cenggini</t>
  </si>
  <si>
    <t>355. Peningkatan jalan ruas margasari - pakulaut</t>
  </si>
  <si>
    <t>356. Peningkatan jalan ruas danaraja - dukuh cenang</t>
  </si>
  <si>
    <t>357. peningkatan jalan ruas dukuh tengah - wanasari</t>
  </si>
  <si>
    <t>358. Peningkatan jalan ruas kabunan - kedawung</t>
  </si>
  <si>
    <t>359. Pengaspalan jalan dan pemasangan U-Ditch/saluran air ruas jalan jl. Nuri 2 rt 2 rw8 Slawi kulon Sebelah selatan kemenag slawi</t>
  </si>
  <si>
    <t>360. Peningkatan Jalan Ruas Jalan Sidaharja - Jatibogor Lokasi di Rt 01-02 Rw. 06 Desa Jatibogor</t>
  </si>
  <si>
    <t>361. Sensit jalan ruas jalan kedokansayang - bumiharja</t>
  </si>
  <si>
    <t>362. Rigit Beton Ruas Jalan Jatibogor - Blubuk</t>
  </si>
  <si>
    <t>363. Rigit Beton Ruas Jalan Sidamulya - Sidamulya</t>
  </si>
  <si>
    <t>364. Rigit Beton Ruas Jalan Rangimulya - Demangharja</t>
  </si>
  <si>
    <t>365. Rigit Beton Ruas Jalan Kendayakan - Kreman</t>
  </si>
  <si>
    <t>366. Rigit Beton Ruas Jalan Jatimulya - Harjasari</t>
  </si>
  <si>
    <t>367. Rigit Beton Ruas Jalan Kertasari - Dukuh Siwen</t>
  </si>
  <si>
    <t>368. Pengaspalan Jalan ruas jalan kedungsugih - pagerbarang</t>
  </si>
  <si>
    <t>369. Peningkatan jalan ruas setu bengle</t>
  </si>
  <si>
    <t>370. Perbaikan Jalan ruas purbayasa lebeteng</t>
  </si>
  <si>
    <t>371. Pengaspalan Jalan Ruas jalan kupu-bersole</t>
  </si>
  <si>
    <t>372. pengaspalan jalan penghubung trayeman harjosari kidul.( buah naga ke utara)</t>
  </si>
  <si>
    <t>373. Peningkatan Jalan Ruas Getaskerep - Dawuhan</t>
  </si>
  <si>
    <t>374. Peninggian Jalan Ruas Jalan Delima lokasi samping Kantor Dinas Arsip ke timur</t>
  </si>
  <si>
    <t>375. Peningkatan Jalan Ruas Pagerbarang - Pagerbarang</t>
  </si>
  <si>
    <t>376. Peningkatan Jalan Rancawiru - Pangkah</t>
  </si>
  <si>
    <t>377. Peningkatan Jalan Sindang - Ujungrusi</t>
  </si>
  <si>
    <t>378. Peningkatan Jalan Bulakwaru - Karangjati</t>
  </si>
  <si>
    <t>379. Peningkatan Jalan Dukuh Jetis - Pesarean</t>
  </si>
  <si>
    <t>380. Peningkatan Jalan Pagedangan - Kedungsukun</t>
  </si>
  <si>
    <t>381. Peningkatan Jalan Karangcegak - Margapadang</t>
  </si>
  <si>
    <t>382. Peningkatan Jalan Karangjati - Kesamiran</t>
  </si>
  <si>
    <t>383. Peningkatan Jalan Kupu - Gumalar</t>
  </si>
  <si>
    <t>384. Peningkatan jalan Tamansari - Wotgalih</t>
  </si>
  <si>
    <t>385. Peningkatan Jalan Wanarata - Wotgalih</t>
  </si>
  <si>
    <t>386. Peningkatan Jalan Sindang - Dukuhwaru</t>
  </si>
  <si>
    <t>387. Peningkatan Jalan Bulakpacing - Pedeslohor</t>
  </si>
  <si>
    <t>388. Peningkatan Jalan Danawarih - Wringin Jenggot</t>
  </si>
  <si>
    <t>389. Peningkatan Jalan Balapulang Wetan - Danawarih</t>
  </si>
  <si>
    <t>390. Peningkatan Jalan Sumbreggan - Jatipelag</t>
  </si>
  <si>
    <t>391. Peningkatan Jalan Bojong- Lengkong</t>
  </si>
  <si>
    <t>392. Peningkatan Jalan Bumijawa - Sumbaga di Sumbaga (Jalan Baru)</t>
  </si>
  <si>
    <t>393. Peningkatan Jalan Slarang Lor SMP- Slarang Kidul</t>
  </si>
  <si>
    <t>394. Rigit Beton Ruas Jalan Banjarturi - Rangimulya</t>
  </si>
  <si>
    <t>395. Lanjutan Rigid Beton Ruas Jalan Mangunsaren - Kesadikan</t>
  </si>
  <si>
    <t>396. Rigid Beton Ruas Jalan Kesadikan - Dukuh Kebanyon</t>
  </si>
  <si>
    <t>397. Peningkatan Jalan Ruas Mangunsaren - Kertaharja</t>
  </si>
  <si>
    <t>398. Peningkatan Jalan Ruas Mindaka - Bulakwaru</t>
  </si>
  <si>
    <t>399. Peningkatan Jalan ruas Purbasana - Jatirawa</t>
  </si>
  <si>
    <t>400. Peningkatan Jalan Ruas Pagerbarang - Pagerbarang</t>
  </si>
  <si>
    <t>401. Peningkatan jalan ruas jatibogor-sidaharja di Desa Jatibogor RT 01/02 RW 06</t>
  </si>
  <si>
    <t xml:space="preserve">402. Peningkatan Jalan Semeru Kec. Slawi </t>
  </si>
  <si>
    <t xml:space="preserve">403. Peningkatan Jalan Teuku Cik Ditiro Kec. Slawi </t>
  </si>
  <si>
    <t>Pelebaran Jalan Menuju Standar</t>
  </si>
  <si>
    <t>1. Pelebaran Jalan Ruas Gupakan - Bumijawa</t>
  </si>
  <si>
    <t>2. Pelebaran jalan ruas jalan bumijawa - jejeg</t>
  </si>
  <si>
    <t>3. Pelebaran jalan ruas jalan dukuharen - Dukuh buji</t>
  </si>
  <si>
    <t>4. Pelebaran Jalan Ruas jalan Gunungjati - Batunyana</t>
  </si>
  <si>
    <t>5. Pelebaran Jalan Ruas Jalan Semboja - Randusari</t>
  </si>
  <si>
    <t>6. Pelebaran Jalan Ruas Kalikangkung - Grobog Wetan</t>
  </si>
  <si>
    <t>7. Pelebaran jl ruas jl Bumijawa - muncanglarang</t>
  </si>
  <si>
    <t xml:space="preserve">8.  Konsultan Pengawas Pelebaran Jalan Gumayun  Pagiyanten No. Ruas 55 Kec. Dukuhwaru Kab. Tegal </t>
  </si>
  <si>
    <t xml:space="preserve">9. Konsultan Perencana Pelebaran jalan Pagerbarang-Jatibarang </t>
  </si>
  <si>
    <t xml:space="preserve">10. Konsultan Pengawas Pelebaran jalan Pagerbarang-Jatibarang </t>
  </si>
  <si>
    <t xml:space="preserve">11. Pelebaran Jalan Gumayun  Pagiyanten No. Ruas 55 Kec. Dukuhwaru Kab. Tegal </t>
  </si>
  <si>
    <t xml:space="preserve">12. Pelebaran jalan Pagerbarang-Jatibarang </t>
  </si>
  <si>
    <t xml:space="preserve">13. Konsultan Pengawas Pelebaran Jalan Jatibarang - Margasari </t>
  </si>
  <si>
    <t>14.  Pelebaran Jalan Jatibarang - Margasari</t>
  </si>
  <si>
    <t>15. Biaya Umum</t>
  </si>
  <si>
    <t>16. Rehabilitasi Jalan Ruas Yamansari - Lebaksiu Kidul Kab. Tegal</t>
  </si>
  <si>
    <t>17. Konsultan Pengawas Rehabilitasi Jalan Ruas Yamansari - Lebaksiu Kidul Kab. Tegal</t>
  </si>
  <si>
    <t>Pemeliharaan Rutin Jembatan</t>
  </si>
  <si>
    <t>1. Pemeliharaan Rutin Jembatan Kali Kemiri Desa Kupu</t>
  </si>
  <si>
    <t>2. Pemeliharaan Rutin Jembatan Sangkanjaya Danawarih</t>
  </si>
  <si>
    <t>3. Pemeliharaan Rutin Jembatan Pasar Kemantran</t>
  </si>
  <si>
    <t>4. Pemeliharaan Rutin Jembatan di Kecamatan Balapulang</t>
  </si>
  <si>
    <t>5. Pemeliharaan Rutin Jembatan Gantung Parakankidang</t>
  </si>
  <si>
    <t>6. Pemeliharaan Rutin Jembatan di UPTD Wilayah II</t>
  </si>
  <si>
    <t>7. Pemeliharaan Rutin Jembatan di UPTD Wilayah III</t>
  </si>
  <si>
    <t>8. Pemeliharaan Rutin Jembatan di UPTD Wilayah IV</t>
  </si>
  <si>
    <t>9. Pemeliharaan Rutin Jembatan di UPTD Wilayah VI</t>
  </si>
  <si>
    <t>10. Pemeliharaan Rutin Jembatan Kali Cacaban Karangwuluh Gembongdadi</t>
  </si>
  <si>
    <t>11. Pemeliharaan Rutin Pengecatan Jembatan</t>
  </si>
  <si>
    <t>12. Pemeliharaan Rutin Jembatan Kalipah Ruas Jalan Banjaran - Balamoa</t>
  </si>
  <si>
    <t>13. Pemeliharaan Rutin Jembatan di Kec. Slawi dan Kec. Dukuhwaru</t>
  </si>
  <si>
    <t>14. Pemeliharaan Rutin Jembatan di Kec. Pangkah dan Kec. Jatinegara</t>
  </si>
  <si>
    <t>15. Pemeliharaan Rutin Jembatan di Kecamatan Kramat</t>
  </si>
  <si>
    <t>16. Pemeliharaan Rutin Jembatan Kali Karet Ruas Jalan Bojong - Batunyana</t>
  </si>
  <si>
    <t>17. Pemeliharaan Rutin Jembatan Kaligung Ruas Jalan Langon - Mejasem</t>
  </si>
  <si>
    <t>18. Pemeliharaan Rutin Jembatan Kali Rasa Ruas Bojong - Batunyana</t>
  </si>
  <si>
    <t>19. Biaya Umum</t>
  </si>
  <si>
    <t>20. Konsultan Bridge Management System (BMS)</t>
  </si>
  <si>
    <t>21. Perbaikan Jembatan Jatilawang - Cenang</t>
  </si>
  <si>
    <t>Pembangunan Jembatan</t>
  </si>
  <si>
    <t>1. Lanjutan Jembatan ruas jalan Yomani - Yomani</t>
  </si>
  <si>
    <t>2. Pelebaran Jembatan Ruas Jalan Pagerkasih - Jejeg</t>
  </si>
  <si>
    <t>3. Pembangunan Jembatan Jalan Danawarih - Sangkan jaya</t>
  </si>
  <si>
    <t>4. Pembangunan Jembatan Jalan Penarukan-Pagiyanten</t>
  </si>
  <si>
    <t>5. Pembangunan Jembatan Kali Erang</t>
  </si>
  <si>
    <t>6. Pembangunan jembatan ruas jalan blubuk blubuk lokasi menuju makam desa blubuk</t>
  </si>
  <si>
    <t>7. Pembangunan jembatan ruas jalan karanganyar - kademangaran kec dukuhturi</t>
  </si>
  <si>
    <t>8. pembangunan jembatan ruas jalan pesarean dukuh jetis</t>
  </si>
  <si>
    <t>9. Pembangunan Jembatan Sokasari</t>
  </si>
  <si>
    <t>10. Pembangunan Pondasi Jembatan Kali Blembeng</t>
  </si>
  <si>
    <t>11. Perbaikan Bangunan Pengaman Jembatan Kali Gung Ruas Senggang - Karangjambu</t>
  </si>
  <si>
    <t>12. Perbaikan Jembatan Dukuh Krasak - Slarang Kidul Jatipeleg</t>
  </si>
  <si>
    <t>13. Perbaikan Jembatan /ruas jalan Semedo-Semedo</t>
  </si>
  <si>
    <t>14. Perbaikan / Pembangunan Jembatan penghubung Dukuh Wanalaba - Dukuh Limbangan Desa Jatilaba</t>
  </si>
  <si>
    <t>15. Konsultan Pengawas Pembangunan Jembatan Kali Erang</t>
  </si>
  <si>
    <t>16. Konsultan Pengawas Pembangunan Jembatan Sokasari</t>
  </si>
  <si>
    <t>17. Konsultan Pengawas Pembangunan Pondasi Jembatan Kali Blembeng</t>
  </si>
  <si>
    <t>18. Konsultan Pengawas Perbaikan Bangunan Pengaman Jembatan Kali Gung Ruas Senggang - Karangjambu</t>
  </si>
  <si>
    <t>20. Keadaan Darurat Kerusakan Sarana/Prasarana Yang Dapat Mengganggu Kegiatan Pelayanan Publik Jembatan Desa Kalisapu Kec. Slawi Kab.Tegal</t>
  </si>
  <si>
    <t>21. Keadaan Darurat Kerusakan Sarana/Prasarana Yang Dapat Mengganggu Kegiatan Pelayanan Publik Jembatan Kaliputih Desa Guci Kec. Bumijawa Kab.Tegal</t>
  </si>
  <si>
    <t>22. Keadaan Darurat Kerusakan Sarana/Prasarana Yang Dapat Mengganggu Kegiatan Pelayanan Publik Jembatan Desa Cawitali Kec. Bumijawa Kab.Tegal</t>
  </si>
  <si>
    <t>23. Keadaan Darurat Kerusakan Sarana / Prasarana Yang Dapat mengganggu Kegiatan Pelayanan Publik Jembatan Desa Randusari Kec. Pagerbarang Kab.Tegal</t>
  </si>
  <si>
    <t xml:space="preserve">24. Konsultan Pengawas Perbaikan Jembatan /ruas jalan Semedo-Semedo </t>
  </si>
  <si>
    <t xml:space="preserve">25.Konsultan Perencana Perbaikan Jembatan /ruas jalan Semedo-Semedo </t>
  </si>
  <si>
    <t>26.Konsultan Pengawas Penanganan Keadaan Darurat Kerusakan Sarana/Prasarana Jembatan Kaliputih Desa Guci Kec. Bumijawa Kab.Tegal</t>
  </si>
  <si>
    <t>Pemeliharaan Rutin Jalan</t>
  </si>
  <si>
    <t>1. Surve Kondisi Jalan UPTD Wilayah I</t>
  </si>
  <si>
    <t>2. Surve Kondisi Jalan UPTD Wilayah II</t>
  </si>
  <si>
    <t>3. Surve Kondisi Jalan UPTD Wilayah III</t>
  </si>
  <si>
    <t>4. Surve Kondisi Jalan UPTD Wilayah IV</t>
  </si>
  <si>
    <t>5. Surve Kondisi Jalan UPTD Wilayah V</t>
  </si>
  <si>
    <t>6. Surve Kondisi Jalan UPTD Wilayah VI</t>
  </si>
  <si>
    <t>7. Surve Kondisi Jembatan UPTD Wilayah I</t>
  </si>
  <si>
    <t>8. Surve Kondisi Jembatan UPTD Wilayah II</t>
  </si>
  <si>
    <t>9. Surve Kondisi Jembatan UPTD Wilayah III</t>
  </si>
  <si>
    <t>10. Surve Kondisi Jembatan UPTD Wilayah IV</t>
  </si>
  <si>
    <t>11. Surve Kondisi Jembatan UPTD Wilayah V</t>
  </si>
  <si>
    <t>12. Surve Kondisi Jembatan UPTD Wilayah VI</t>
  </si>
  <si>
    <t>13. Belanja Jasa Tenaga Administrasi</t>
  </si>
  <si>
    <t>14. Pemeliharaan Alat Bantu Kerja Lapangan UPTD</t>
  </si>
  <si>
    <t>15. Belanja Pemeliharaan Komputer-Komputer Unit-Personal Computer</t>
  </si>
  <si>
    <t>16. Pengadaan Aspal Drum Tahap I</t>
  </si>
  <si>
    <t>17. Pengadaan Aspal Drum Tahap II</t>
  </si>
  <si>
    <t>18. Pengadaan Aspal Cool Mix Tahap I</t>
  </si>
  <si>
    <t>19. Pengadaan Aspal Cool Mix Tahap II</t>
  </si>
  <si>
    <t>20. Pengadaan Aspal Cool Mix Tahap III</t>
  </si>
  <si>
    <t>21. Pengadaan Aspal Cool Mix Tahap IV</t>
  </si>
  <si>
    <t>22. Pengadaan Box Culvert dan Cover Uditch</t>
  </si>
  <si>
    <t>23. Pengadaan Batu Pecah dan Kayu Bakar</t>
  </si>
  <si>
    <t>24. Pemeliharaan Rutin Jalan Yomani - Kalibakung</t>
  </si>
  <si>
    <t>25. Pemeliharaan Rutin Jalan Kalibakung - Senggang</t>
  </si>
  <si>
    <t>26. Pemeliharaan Rutin Jalan Senggang - Karangjambu</t>
  </si>
  <si>
    <t>27. Pemeliharaan Rutin Jalan Karangjambu - Bojong</t>
  </si>
  <si>
    <t>28. Pemeliharaan Rutin Jalan Bojong - Tuwel</t>
  </si>
  <si>
    <t>29. Pemeliharaan Rutin Jalan Banjaran - Kalikangkung</t>
  </si>
  <si>
    <t>30. Pemeliharaan Rutin Jalan Curug - Pangkah</t>
  </si>
  <si>
    <t>31. Pemeliharaan Rutin Jalan Pangkah - Kalikangkung</t>
  </si>
  <si>
    <t>32. Pemeliharaan Rutin Jalan Pagerbarang - Jatibarang</t>
  </si>
  <si>
    <t>33. Pemeliharaan Rutin Jalan Jedug - Pagerbarang</t>
  </si>
  <si>
    <t>34. Pemeliharaan Rutin Jalan Margasari - Jedug</t>
  </si>
  <si>
    <t>35. Pemeliharaan Rutin Jalan Balapulang - Semboja</t>
  </si>
  <si>
    <t>36. Pemeliharaan Rutin Jalan Semboja - Randusari</t>
  </si>
  <si>
    <t>37. Pemeliharaan Rutin Jalan Randusari - Jatibarang</t>
  </si>
  <si>
    <t>38. Pemeliharaan Rutin Jalan Bogares - Pangkah</t>
  </si>
  <si>
    <t>39. Pemeliharaan Rutin Jalan Pangkah - Rancawiru</t>
  </si>
  <si>
    <t>40. Pemeliharaan Rutin Jalan Rancawiru - Balamoa</t>
  </si>
  <si>
    <t>41. Pemeliharaan Rutin Jalan Balamoa - Jenggul</t>
  </si>
  <si>
    <t>42. Pemeliharaan Rutin Jalan Trayeman - Ujungrusi</t>
  </si>
  <si>
    <t>43. Pemeliharaan Rutin Jalan Ujungrusi - Tegalwangi</t>
  </si>
  <si>
    <t>44. Pemeliharaan Rutin Jalan Kaligayam - Wangandawa</t>
  </si>
  <si>
    <t>45. Pemeliharaan Rutin Jalan Perkotaan Slawi</t>
  </si>
  <si>
    <t>46. Pemeliharaan Rutin Jalan Bumijawa - Muncanglarang</t>
  </si>
  <si>
    <t>47. Pemeliharaan Rutin Jalan Muncanglarang - Jejeg</t>
  </si>
  <si>
    <t>48. Pemeliharaan Rutin Jalan Jejeg - Krikil</t>
  </si>
  <si>
    <t>49. Pemeliharaan Rutin Jalan Gumayun - Pagiyanten</t>
  </si>
  <si>
    <t>50. Pemeliharaan Rutin Jalan Ow Guci (Menuju Pancuran 13</t>
  </si>
  <si>
    <t>51. Pemeliharaan Rutin Jalan Babakan - Kertayasa</t>
  </si>
  <si>
    <t>52. Pemeliharaan Rutin Jalan Kertayasa - Jatibogor</t>
  </si>
  <si>
    <t>53. Pemeliharaan Rutin Jalan Pekiringan - Langgen Di Desa Pekiringan</t>
  </si>
  <si>
    <t>54. Pemeliharaan Rutin Jalan Jatinegara - Penyalahan</t>
  </si>
  <si>
    <t>55. Pemeliharaan Rutin Jalan Penyalahan - Cikura</t>
  </si>
  <si>
    <t>56. Pemeliharaan Rutin Jalan Cikura - Danasari</t>
  </si>
  <si>
    <t>57. Pemeliharaan Rutin Jalan Simpar - Gunungjati</t>
  </si>
  <si>
    <t>58. Pemeliharaan Rutin Jalan Gunungjati - Pucangluwuk</t>
  </si>
  <si>
    <t>59. Pemeliharaan Rutin Jalan Pucangluwuk - Kajenengan</t>
  </si>
  <si>
    <t>60. Pemeliharaan Rutin Jalan Bojong - Batunyana</t>
  </si>
  <si>
    <t>61. Pemeliharaan Rutin Jalan Batunyana - Danasari</t>
  </si>
  <si>
    <t>62. Pemeliharaan Rutin Jalan Setu - Mindaka</t>
  </si>
  <si>
    <t>63. Pemeliharaan Rutin Jalan Wangandawa - Kemantran</t>
  </si>
  <si>
    <t>64. Pemeliharaan Rutin Jalan Langon - Wangandawa</t>
  </si>
  <si>
    <t>65. Pemeliharaan Rutin Jalan Balamoa - Karangmalang</t>
  </si>
  <si>
    <t>66. Pemeliharaan Rutin Jalan Karangmalang - Bader</t>
  </si>
  <si>
    <t>67. Pemeliharaan Rutin Jalan Bader - Kedungjati</t>
  </si>
  <si>
    <t>68. Pemeliharaan Rutin Jalan Kemaron - Guci</t>
  </si>
  <si>
    <t>69. Pemeliharaan Rutin Jalan Batumirah - Sudikampir - Guci</t>
  </si>
  <si>
    <t>70. Pemeliharaan Rutin Jalan Lingkar Kota Slawi Kendalserut - Curug</t>
  </si>
  <si>
    <t>71. Pemeliharaan Rutin Jalan Singkil - Kalipucang</t>
  </si>
  <si>
    <t>72. Pengadaan Alat Bantu Kerja</t>
  </si>
  <si>
    <t>73. Biaya Umum</t>
  </si>
  <si>
    <t>74. Pemeliharaan Rutin Jalan Mejasem - Dampyak</t>
  </si>
  <si>
    <t>75. Pemeliharaan Rutin Jalan Pala 27 - Padaharja</t>
  </si>
  <si>
    <t>76. Pemeliharaan Rutin Jalan Padaharja - Dinuk</t>
  </si>
  <si>
    <t>77. Pemeliharaan Rutin Jalan Mejasem - Slerok</t>
  </si>
  <si>
    <t>78. Pemeliharaan Rutin Jalan Jatibogor - Kertasari (Depan Pasar Jatibogor)</t>
  </si>
  <si>
    <t>79. Pemeliharaan Rutin Jalan Tembokluwung - Harjosari Kidul</t>
  </si>
  <si>
    <t>80. Pemeliharaan Rutin Jalan Komplek Yonif 407</t>
  </si>
  <si>
    <t>81. Pemeliharaan Rutin Jalan Komplek RS DKT Kodim</t>
  </si>
  <si>
    <t>82. Pemeliharaan Rutin Jalan Dukuhturi -Kupu (Depan Pasar Kupu)</t>
  </si>
  <si>
    <t>83. Pemeliharaan Rutin Jalan Karangcegak - Margapadang</t>
  </si>
  <si>
    <t>84. Pemeliharaan Rutin Jalan Projosumarto II</t>
  </si>
  <si>
    <t>85. Pemeliharaan Rutin Jalan Dermasandi - Lebeteng</t>
  </si>
  <si>
    <t>86. Pemeliharaan Rutin Jalan Grobogkulon - Grobogwetan</t>
  </si>
  <si>
    <t>87. Pemeliharaan Rutin Jalan Tamansari - Wotgalih</t>
  </si>
  <si>
    <t>88. Pemeliharaan Rutin Jalan Capar - Padasari</t>
  </si>
  <si>
    <t>89. Pemeliharaan Rutin Jalan Dukuhjati Kidul - Karanganyar</t>
  </si>
  <si>
    <t>90. Pemeliharaan Rutin Jalan WR. Supratman Slawi</t>
  </si>
  <si>
    <t>91. Pemeliharaan Rutin Jalan Merapi Slawi</t>
  </si>
  <si>
    <t>92. Pemeliharaan Rutin Jalan Krakatau</t>
  </si>
  <si>
    <t>93. Pemeliharaan Rutin Jalan Dukuhwringin - Babakan</t>
  </si>
  <si>
    <t>94. Pemeliharaan Rutin Jalan Dukuhlo - Jatimulya</t>
  </si>
  <si>
    <t>95. Pemeliharaan Rutin Jalan Tembus Babakan - Kambangan</t>
  </si>
  <si>
    <t>96. Pemeliharaan Rutin Jalan Moh. Yamin Slawi</t>
  </si>
  <si>
    <t>97. Pemeliharaan Rutin Jalan Jawa</t>
  </si>
  <si>
    <t>98. Pemeliharaan Rutin Jalan Komplek Zipur Kagok Slawi</t>
  </si>
  <si>
    <t>99. Pemeliharaan Rutin Jalan Komplek Brigif Dewaratna</t>
  </si>
  <si>
    <t>100. Pemeliharaan Rutin Jalan Komplek Aspol Kalibliruk</t>
  </si>
  <si>
    <t>101. Pemeliharaan Rutin Halaman Rumah Dinas Bupati Tegal</t>
  </si>
  <si>
    <t>102. Pemeliharaan Rutin Jalan Cenggini - Danaraja</t>
  </si>
  <si>
    <t>103. Pemeliharaan Rutin Jalan Karangjambu - Cilongok</t>
  </si>
  <si>
    <t>104. Pemeliharaan Rutin Jalan Cilongok - Danareja</t>
  </si>
  <si>
    <t>105. Pemeliharaan Rutin Jalan Timbangreja - Sangkanjaya</t>
  </si>
  <si>
    <t>106. Pemeliharaan Rutin Jalan Batumirah - Sudikampir (Lanjutan)</t>
  </si>
  <si>
    <t>107. Pemeliharaan Rutin Jalan Jejeg - Cenggini</t>
  </si>
  <si>
    <t>108. Pemeliharaan Rutin Jalan Sumbaga - Sokasari</t>
  </si>
  <si>
    <t>109. Pemeliharaan Rutin Jalan Cawitali - Sumbaga di Desa Carul</t>
  </si>
  <si>
    <t>110. Pemeliharaan Rutin Jalan Cilongok - Diwung</t>
  </si>
  <si>
    <t>111. Pemeliharaan Rutin Jalan Lingkungan Pemda Menuju Gedung Aset BPKAD</t>
  </si>
  <si>
    <t>112. Pemeliharaan Rutin Jalan Sumingkir - Kebandingan</t>
  </si>
  <si>
    <t>113. Pemeliharaan Rutin Jalan Peleman - Sidaharja</t>
  </si>
  <si>
    <t>114. Pemeliharaan Rutin Jalan Sidaharja - Jatibogor</t>
  </si>
  <si>
    <t>PROGRAM PENGEMBANGAN JASA KONSTRUKSI</t>
  </si>
  <si>
    <t>Penyelenggaraan Pelatihan Tenaga Terampil Konstruksi</t>
  </si>
  <si>
    <t>Fasilitasi Sertifikasi Tenaga Kerja Konstruksi Kualifikasi Jabatan Operator dan Teknisi atau Analis</t>
  </si>
  <si>
    <t>1. Biaya Uji Sertifikasi</t>
  </si>
  <si>
    <t xml:space="preserve">Pembinaan dan Peningkatan Kapasitas Kelembagaan Jasa Konstruksi </t>
  </si>
  <si>
    <t>1. Belanja Pelatihan Asesor</t>
  </si>
  <si>
    <t>Pemantauan dan Evaluasi Pelatihan Tenaga Kerja Konstruksi Kualifikasi Jabatan Operator dan Teknisi atau Analis</t>
  </si>
  <si>
    <t xml:space="preserve">Pelatihan Tenaga Kerja Konstruksi Kualifikasi Jabatan Operator, Teknisi atau Analis </t>
  </si>
  <si>
    <t>Penyelenggaraan Sistem Informasi Jasa Konstruksi Cakupan Daerah Kabupaten/Kota</t>
  </si>
  <si>
    <t xml:space="preserve">Penyediaan Perangkat Pendukung Layanan Informasi Jasa Konstruksi </t>
  </si>
  <si>
    <t>2. Belanja Pemeliharaan Aplikasi Sistem Informasi Jasa Konstruksi</t>
  </si>
  <si>
    <t>Penyediaan Data dan Informasi Jasa Konstruksi Cakupan Kabupaten/Kota</t>
  </si>
  <si>
    <t>2. Penyusunan AHSP Tahap I ( Bangunan Gedung )</t>
  </si>
  <si>
    <t>3. Penyusunan AHSP Tahap I ( Jalan, Jembatan, dan SDA )</t>
  </si>
  <si>
    <t>4. Penyusunan AHSP Tahap II ( Jalan, Jembatan, dan SDA )</t>
  </si>
  <si>
    <t>5. Penyusunan AHSP Tahap III ( Bangunan Gedung )</t>
  </si>
  <si>
    <t>6. Penyusunan AHSP Tahap III ( Jalan, Jembatan, dan SDA )</t>
  </si>
  <si>
    <t>7. Penyusunan AHSP Tahap IV ( Jalan, Jembatan, dan SDA )</t>
  </si>
  <si>
    <t>Pengawasan Tertib Usaha, Tertib Penyelenggaraan dan Tertib Pemanfaatan Jasa Konstruksi</t>
  </si>
  <si>
    <t>Pengawasan dan Evaluasi Tertib Pemanfaatan Produk Jasa Konstruksi Kabupaten/Kota</t>
  </si>
  <si>
    <t xml:space="preserve">Pembinaan Tertib Usaha, Tertib Penyelenggaraan, dan Tertib Pemanfaatan Produk Jasa Konstruksi </t>
  </si>
  <si>
    <t>2. Belanja Jasa Tenaga Non Outsourcing</t>
  </si>
  <si>
    <t>PROGRAM PENYELENGGARAAN PENATAAN RUANG</t>
  </si>
  <si>
    <t>Penetapan Rencana Tata Ruang Wilayah (RTRW) dan Rencana Rinci Tata Ruang (RRTR) Kabupaten/Kota</t>
  </si>
  <si>
    <t>Penyebarluasan Informasi Penataan Ruang</t>
  </si>
  <si>
    <t xml:space="preserve">Pelaksanaan Fasilitasi RDTR Kabupaten/Kota </t>
  </si>
  <si>
    <t>Koordinasi dan Sinkronisasi Perencanaan Tata Ruang Daerah Kabupaten/Kota</t>
  </si>
  <si>
    <t xml:space="preserve">Penyusunan Peta Dasar </t>
  </si>
  <si>
    <t xml:space="preserve">2. Penyusunan Peta Dasar RDTR WP Bojong-Bumijawa </t>
  </si>
  <si>
    <t xml:space="preserve">3. Penyusunan Peta Dasar RDTR WP Tarub </t>
  </si>
  <si>
    <t xml:space="preserve">Penyusunan RDTR Kabupaten/Kota </t>
  </si>
  <si>
    <t>1. Penyusunan Laporan Pendahuluan dan Fakta Analisa RDTR WP Bojong - Bumijawa</t>
  </si>
  <si>
    <t>2. Penyusunan Laporan Pendahuluan dan Fakta Analisa RDTR WP Tarub</t>
  </si>
  <si>
    <t>3. Penyusunan Materi Teknis (Buku Rencana) RDTR WP Mejasem - Suradadi</t>
  </si>
  <si>
    <t>4. Penyusunan Materi Teknis (Buku Rencana) RDTR WP Labaksiu - Balapulang</t>
  </si>
  <si>
    <t xml:space="preserve">5.Penyusunan Materi Teknis (Buku Rencana) RDTR WP Margasari </t>
  </si>
  <si>
    <t xml:space="preserve">6.  Penyusunan Materi Teknis (Buku Rencana) RDTR WP Pangkah </t>
  </si>
  <si>
    <t xml:space="preserve">7. Penyusunan Materi Teknis (Buku Rencana) RDTR WP Dukuhwaru </t>
  </si>
  <si>
    <t>8. Penyusunan Rancangan Peraturan Kepala Daerah tentang RDTR WP Mejasem - Suradadi</t>
  </si>
  <si>
    <t xml:space="preserve">9. Penyusunan Rancangan Peraturan Kepala Daerah tentang RDTR WP Lebaksiu - Balapulang </t>
  </si>
  <si>
    <t>10. Penyusunan Rancangan Peraturan Kepala Daerah tentang RDTR WP Margasari</t>
  </si>
  <si>
    <t xml:space="preserve">11. Penyusunan Rancangan Peraturan Kepala Daerah tentang RDTR WP Pangkah </t>
  </si>
  <si>
    <t xml:space="preserve">12. Penyusunan Rancangan Peraturan Kepala Daerah tentang RDTR WP Dukuhwaru </t>
  </si>
  <si>
    <t>13. Penyusunan Rancangan Peraturan Kepala Daerah tentang RDTR WP Bojong - Bumijawa</t>
  </si>
  <si>
    <t>14. Penyusunan Rancangan Peraturan Kepala Daerah tentang RDTR WP Tarub</t>
  </si>
  <si>
    <t xml:space="preserve">15. Penyusunan Materi Teknis (Buku Rencana) RDTR WP Bojong - Bumijawa </t>
  </si>
  <si>
    <t>16. Penyusunan Materi Teknis (Buku Rencana) RDTR WP Tarub</t>
  </si>
  <si>
    <t>17. Belanja Modal Personal Computer</t>
  </si>
  <si>
    <t>Koordinasi dan Sinkronisasi Pemanfaatan Ruang Daerah Kabupaten/Kota</t>
  </si>
  <si>
    <t>Koordinasi Penyelenggaraan Penataan Ruang</t>
  </si>
  <si>
    <t>1. Pengadaan Komputer</t>
  </si>
  <si>
    <t>Pelaksanaan Persetujuan Kesesuaian Kegiatan Pemanfaatan Ruang</t>
  </si>
  <si>
    <t>Pelaksanaan Sinkronisasi Program Pemanfaatan Ruang</t>
  </si>
  <si>
    <t>1. Jasa Konsultasi Penyusunan Dokumen Sinkronisasi Pemanfaatan Ruang</t>
  </si>
  <si>
    <t xml:space="preserve">3. Penyusunan Dokumen Sinkronisasi Program Pemanfaatan Ruang Jangka Pendek </t>
  </si>
  <si>
    <t>Sistem informasi dan komunikasi penataan ruang</t>
  </si>
  <si>
    <t>1. Pemeliharaan Sistem Informasi Penataan Ruang Kabupaten Tegal</t>
  </si>
  <si>
    <t>Koordinasi dan Sinkronisasi Pengendalian Pemanfaatan Ruang Daerah Kabupaten/Kota</t>
  </si>
  <si>
    <t>Koordinasi Pelaksanaan Penataan Ruang</t>
  </si>
  <si>
    <t>Penilaian Pelaksanaan Kesesuaian Kegi tan Pemanfaatan Ruang dan/atau pernyataan mandiri pelaku UMK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</si>
</sst>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rgb="FFFF0000"/>
      <name val="Calibri"/>
      <family val="2"/>
      <scheme val="minor"/>
    </font>
    <font>
      <sz val="11"/>
      <color theme="0"/>
      <name val="Calibri"/>
      <family val="2"/>
      <scheme val="minor"/>
    </font>
    <font>
      <sz val="11"/>
      <name val="Calibri"/>
      <family val="2"/>
      <scheme val="minor"/>
    </font>
    <font>
      <sz val="9"/>
      <name val="Calibri"/>
      <family val="2"/>
      <scheme val="minor"/>
    </font>
    <font>
      <b/>
      <sz val="9"/>
      <name val="Calibri"/>
      <family val="2"/>
      <scheme val="minor"/>
    </font>
    <font>
      <b/>
      <sz val="12"/>
      <name val="Calibri"/>
      <family val="2"/>
      <scheme val="minor"/>
    </font>
  </fonts>
  <fills count="6">
    <fill>
      <patternFill patternType="none"/>
    </fill>
    <fill>
      <patternFill patternType="gray125"/>
    </fill>
    <fill>
      <patternFill patternType="solid">
        <fgColor rgb="FFF0F0F0"/>
        <bgColor indexed="64"/>
      </patternFill>
    </fill>
    <fill>
      <patternFill patternType="solid">
        <fgColor rgb="FF99CC00"/>
        <bgColor indexed="64"/>
      </patternFill>
    </fill>
    <fill>
      <patternFill patternType="solid">
        <fgColor rgb="FFFFCC99"/>
        <bgColor indexed="64"/>
      </patternFill>
    </fill>
    <fill>
      <patternFill patternType="solid">
        <fgColor rgb="FFFFFFCC"/>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48">
    <xf numFmtId="0" fontId="0" fillId="0" borderId="0" xfId="0"/>
    <xf numFmtId="0" fontId="3" fillId="0" borderId="0" xfId="0" applyFont="1" applyAlignment="1">
      <alignment vertical="top"/>
    </xf>
    <xf numFmtId="0" fontId="2" fillId="0" borderId="0" xfId="0" applyFont="1" applyAlignment="1">
      <alignment vertical="top"/>
    </xf>
    <xf numFmtId="3" fontId="3" fillId="0" borderId="0" xfId="0" applyNumberFormat="1" applyFont="1" applyAlignment="1">
      <alignment vertical="top"/>
    </xf>
    <xf numFmtId="0" fontId="3" fillId="0" borderId="0" xfId="0" applyFont="1" applyAlignment="1">
      <alignment vertical="top"/>
    </xf>
    <xf numFmtId="3" fontId="4" fillId="0" borderId="1" xfId="0" applyNumberFormat="1" applyFont="1" applyBorder="1" applyAlignment="1">
      <alignment horizontal="right" vertical="top" wrapText="1"/>
    </xf>
    <xf numFmtId="0" fontId="5" fillId="2" borderId="2" xfId="0" applyFont="1" applyFill="1" applyBorder="1" applyAlignment="1">
      <alignment horizontal="center" vertical="center" wrapText="1"/>
    </xf>
    <xf numFmtId="0" fontId="4" fillId="0" borderId="0" xfId="0" applyFont="1" applyAlignment="1">
      <alignment vertical="center"/>
    </xf>
    <xf numFmtId="3" fontId="4" fillId="0" borderId="0" xfId="0" applyNumberFormat="1" applyFont="1" applyAlignment="1">
      <alignment vertical="center"/>
    </xf>
    <xf numFmtId="0" fontId="3" fillId="0" borderId="0" xfId="0" applyFont="1" applyAlignment="1">
      <alignment vertical="center"/>
    </xf>
    <xf numFmtId="0" fontId="5" fillId="2" borderId="2" xfId="0" applyFont="1" applyFill="1" applyBorder="1" applyAlignment="1">
      <alignment horizontal="center" vertical="center" wrapText="1"/>
    </xf>
    <xf numFmtId="3" fontId="5" fillId="2" borderId="2" xfId="0" applyNumberFormat="1" applyFont="1" applyFill="1" applyBorder="1" applyAlignment="1">
      <alignment horizontal="center" vertical="center" wrapText="1"/>
    </xf>
    <xf numFmtId="0" fontId="5" fillId="3" borderId="2" xfId="0" applyFont="1" applyFill="1" applyBorder="1" applyAlignment="1">
      <alignment vertical="top" wrapText="1"/>
    </xf>
    <xf numFmtId="3" fontId="5" fillId="3" borderId="2" xfId="0" applyNumberFormat="1" applyFont="1" applyFill="1" applyBorder="1" applyAlignment="1">
      <alignment vertical="top" wrapText="1"/>
    </xf>
    <xf numFmtId="2" fontId="5" fillId="3" borderId="2" xfId="0" applyNumberFormat="1" applyFont="1" applyFill="1" applyBorder="1" applyAlignment="1">
      <alignment horizontal="center" vertical="top" wrapText="1"/>
    </xf>
    <xf numFmtId="2" fontId="4" fillId="0" borderId="0" xfId="0" applyNumberFormat="1" applyFont="1" applyAlignment="1">
      <alignment vertical="top"/>
    </xf>
    <xf numFmtId="3" fontId="4" fillId="0" borderId="0" xfId="0" applyNumberFormat="1" applyFont="1" applyAlignment="1">
      <alignment vertical="top"/>
    </xf>
    <xf numFmtId="0" fontId="5" fillId="4" borderId="2" xfId="0" applyFont="1" applyFill="1" applyBorder="1" applyAlignment="1">
      <alignment horizontal="left" vertical="top" wrapText="1"/>
    </xf>
    <xf numFmtId="3" fontId="5" fillId="4" borderId="2" xfId="0" applyNumberFormat="1" applyFont="1" applyFill="1" applyBorder="1" applyAlignment="1">
      <alignment horizontal="right" vertical="top" wrapText="1"/>
    </xf>
    <xf numFmtId="0" fontId="4" fillId="4" borderId="2" xfId="0" applyFont="1" applyFill="1" applyBorder="1" applyAlignment="1">
      <alignment horizontal="left" vertical="top" wrapText="1"/>
    </xf>
    <xf numFmtId="3" fontId="4" fillId="4" borderId="2" xfId="0" applyNumberFormat="1" applyFont="1" applyFill="1" applyBorder="1" applyAlignment="1">
      <alignment horizontal="left" vertical="top" wrapText="1"/>
    </xf>
    <xf numFmtId="2" fontId="5" fillId="4" borderId="2" xfId="0" applyNumberFormat="1" applyFont="1" applyFill="1" applyBorder="1" applyAlignment="1">
      <alignment horizontal="center" vertical="top" wrapText="1"/>
    </xf>
    <xf numFmtId="0" fontId="4" fillId="0" borderId="0" xfId="0" applyFont="1" applyAlignment="1">
      <alignment vertical="top"/>
    </xf>
    <xf numFmtId="0" fontId="5" fillId="5" borderId="2" xfId="0" applyFont="1" applyFill="1" applyBorder="1" applyAlignment="1">
      <alignment horizontal="left" vertical="top" wrapText="1"/>
    </xf>
    <xf numFmtId="3" fontId="5" fillId="5" borderId="2" xfId="0" applyNumberFormat="1" applyFont="1" applyFill="1" applyBorder="1" applyAlignment="1">
      <alignment horizontal="right" vertical="top" wrapText="1"/>
    </xf>
    <xf numFmtId="0" fontId="4" fillId="5" borderId="2" xfId="0" applyFont="1" applyFill="1" applyBorder="1" applyAlignment="1">
      <alignment horizontal="left" vertical="top" wrapText="1"/>
    </xf>
    <xf numFmtId="3" fontId="4" fillId="5" borderId="2" xfId="0" applyNumberFormat="1" applyFont="1" applyFill="1" applyBorder="1" applyAlignment="1">
      <alignment horizontal="left" vertical="top" wrapText="1"/>
    </xf>
    <xf numFmtId="2" fontId="5" fillId="5" borderId="2" xfId="0" applyNumberFormat="1" applyFont="1" applyFill="1" applyBorder="1" applyAlignment="1">
      <alignment horizontal="center" vertical="top" wrapText="1"/>
    </xf>
    <xf numFmtId="0" fontId="4" fillId="0" borderId="2" xfId="0" applyFont="1" applyBorder="1" applyAlignment="1">
      <alignment horizontal="left" vertical="top" wrapText="1"/>
    </xf>
    <xf numFmtId="3" fontId="4" fillId="0" borderId="2" xfId="0" applyNumberFormat="1" applyFont="1" applyBorder="1" applyAlignment="1">
      <alignment horizontal="right" vertical="top" wrapText="1"/>
    </xf>
    <xf numFmtId="2" fontId="4" fillId="0" borderId="2" xfId="0" applyNumberFormat="1" applyFont="1" applyBorder="1" applyAlignment="1">
      <alignment horizontal="center" vertical="top" wrapText="1"/>
    </xf>
    <xf numFmtId="2" fontId="4" fillId="5" borderId="2" xfId="0" applyNumberFormat="1" applyFont="1" applyFill="1" applyBorder="1" applyAlignment="1">
      <alignment horizontal="center" vertical="top" wrapText="1"/>
    </xf>
    <xf numFmtId="0" fontId="1" fillId="0" borderId="0" xfId="0" applyFont="1" applyAlignment="1">
      <alignment vertical="top"/>
    </xf>
    <xf numFmtId="3" fontId="4" fillId="0" borderId="0" xfId="0" applyNumberFormat="1" applyFont="1" applyAlignment="1">
      <alignment horizontal="right" vertical="top" wrapText="1"/>
    </xf>
    <xf numFmtId="0" fontId="4" fillId="0" borderId="2" xfId="0" applyFont="1" applyBorder="1" applyAlignment="1">
      <alignment horizontal="right" vertical="top" wrapText="1"/>
    </xf>
    <xf numFmtId="3" fontId="4" fillId="0" borderId="3" xfId="0" applyNumberFormat="1" applyFont="1" applyBorder="1" applyAlignment="1">
      <alignment horizontal="right" vertical="top" wrapText="1"/>
    </xf>
    <xf numFmtId="0" fontId="3" fillId="0" borderId="4" xfId="0" applyFont="1" applyBorder="1" applyAlignment="1">
      <alignment vertical="top"/>
    </xf>
    <xf numFmtId="0" fontId="1" fillId="0" borderId="4" xfId="0" applyFont="1" applyBorder="1" applyAlignment="1">
      <alignment vertical="top"/>
    </xf>
    <xf numFmtId="3" fontId="4" fillId="0" borderId="2" xfId="0" applyNumberFormat="1" applyFont="1" applyBorder="1" applyAlignment="1">
      <alignment vertical="top"/>
    </xf>
    <xf numFmtId="0" fontId="0" fillId="0" borderId="0" xfId="0" applyAlignment="1">
      <alignment vertical="top"/>
    </xf>
    <xf numFmtId="3" fontId="4" fillId="0" borderId="0" xfId="0" applyNumberFormat="1" applyFont="1" applyAlignment="1">
      <alignment horizontal="left" vertical="top" wrapText="1"/>
    </xf>
    <xf numFmtId="0" fontId="4" fillId="0" borderId="0" xfId="0" applyFont="1" applyAlignment="1">
      <alignment horizontal="left" vertical="top" wrapText="1"/>
    </xf>
    <xf numFmtId="3" fontId="5" fillId="0" borderId="0" xfId="0" applyNumberFormat="1" applyFont="1" applyAlignment="1">
      <alignment horizontal="right" vertical="top" wrapText="1"/>
    </xf>
    <xf numFmtId="3" fontId="5" fillId="2" borderId="5" xfId="0" applyNumberFormat="1" applyFont="1" applyFill="1" applyBorder="1" applyAlignment="1">
      <alignment horizontal="center" vertical="center" wrapText="1"/>
    </xf>
    <xf numFmtId="3" fontId="5" fillId="2" borderId="6" xfId="0" applyNumberFormat="1"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6" fillId="0" borderId="0" xfId="0" applyFont="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423333</xdr:colOff>
      <xdr:row>1196</xdr:row>
      <xdr:rowOff>79486</xdr:rowOff>
    </xdr:from>
    <xdr:to>
      <xdr:col>6</xdr:col>
      <xdr:colOff>211667</xdr:colOff>
      <xdr:row>1206</xdr:row>
      <xdr:rowOff>95250</xdr:rowOff>
    </xdr:to>
    <xdr:sp macro="" textlink="">
      <xdr:nvSpPr>
        <xdr:cNvPr id="2" name="TextBox 1">
          <a:extLst>
            <a:ext uri="{FF2B5EF4-FFF2-40B4-BE49-F238E27FC236}">
              <a16:creationId xmlns:a16="http://schemas.microsoft.com/office/drawing/2014/main" id="{BCDE8730-0FEF-4107-84B5-62AFF91E7CD3}"/>
            </a:ext>
          </a:extLst>
        </xdr:cNvPr>
        <xdr:cNvSpPr txBox="1"/>
      </xdr:nvSpPr>
      <xdr:spPr>
        <a:xfrm>
          <a:off x="5312833" y="349371819"/>
          <a:ext cx="2751667" cy="19207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200">
              <a:solidFill>
                <a:sysClr val="windowText" lastClr="000000"/>
              </a:solidFill>
            </a:rPr>
            <a:t>Slawi,          Januari 2026</a:t>
          </a:r>
        </a:p>
        <a:p>
          <a:pPr algn="ctr"/>
          <a:r>
            <a:rPr lang="en-ID" sz="1200">
              <a:solidFill>
                <a:sysClr val="windowText" lastClr="000000"/>
              </a:solidFill>
            </a:rPr>
            <a:t>Kepala Dinas Pekerjaan Umum dan</a:t>
          </a:r>
        </a:p>
        <a:p>
          <a:pPr algn="ctr"/>
          <a:r>
            <a:rPr lang="en-ID" sz="1200">
              <a:solidFill>
                <a:sysClr val="windowText" lastClr="000000"/>
              </a:solidFill>
            </a:rPr>
            <a:t>Penataan Ruang Kabupaten Tegal</a:t>
          </a:r>
        </a:p>
        <a:p>
          <a:pPr algn="ctr"/>
          <a:endParaRPr lang="en-ID" sz="1200">
            <a:solidFill>
              <a:sysClr val="windowText" lastClr="000000"/>
            </a:solidFill>
          </a:endParaRPr>
        </a:p>
        <a:p>
          <a:pPr algn="ctr"/>
          <a:endParaRPr lang="en-ID" sz="1200">
            <a:solidFill>
              <a:sysClr val="windowText" lastClr="000000"/>
            </a:solidFill>
          </a:endParaRPr>
        </a:p>
        <a:p>
          <a:pPr algn="ctr"/>
          <a:endParaRPr lang="en-ID" sz="1200">
            <a:solidFill>
              <a:sysClr val="windowText" lastClr="000000"/>
            </a:solidFill>
          </a:endParaRPr>
        </a:p>
        <a:p>
          <a:pPr algn="ctr"/>
          <a:r>
            <a:rPr lang="en-ID" sz="1200" b="1" u="sng">
              <a:solidFill>
                <a:sysClr val="windowText" lastClr="000000"/>
              </a:solidFill>
            </a:rPr>
            <a:t>TEGUH DWIJANTO R. ST, MT, MA</a:t>
          </a:r>
        </a:p>
        <a:p>
          <a:pPr algn="ctr"/>
          <a:r>
            <a:rPr lang="en-ID" sz="1200">
              <a:solidFill>
                <a:sysClr val="windowText" lastClr="000000"/>
              </a:solidFill>
            </a:rPr>
            <a:t>Pembina Utama</a:t>
          </a:r>
          <a:r>
            <a:rPr lang="en-ID" sz="1200" baseline="0">
              <a:solidFill>
                <a:sysClr val="windowText" lastClr="000000"/>
              </a:solidFill>
            </a:rPr>
            <a:t> Muda</a:t>
          </a:r>
          <a:endParaRPr lang="en-ID" sz="1200">
            <a:solidFill>
              <a:sysClr val="windowText" lastClr="000000"/>
            </a:solidFill>
          </a:endParaRPr>
        </a:p>
        <a:p>
          <a:pPr algn="ctr"/>
          <a:r>
            <a:rPr lang="en-ID" sz="1200">
              <a:solidFill>
                <a:sysClr val="windowText" lastClr="000000"/>
              </a:solidFill>
            </a:rPr>
            <a:t>NIP. 19710717 199903 1 007</a:t>
          </a:r>
        </a:p>
        <a:p>
          <a:pPr algn="ctr"/>
          <a:endParaRPr lang="en-ID" sz="12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ATA%20AYU/2025/LAPORAN%20BULANAN/LAPORAN%20BULANAN%20EXCEL/LAPORAN%20PENGADAAN%20DESEMBER%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P PENGADAAN DESEMBER 2025"/>
      <sheetName val="LAP REKAP DESEMBER 2025"/>
      <sheetName val="LAP APBD DESEMBER 2025"/>
      <sheetName val="LAP DAK DESEMBER 2025 "/>
      <sheetName val="LAP HAMBATAN DESEMBER 2025"/>
      <sheetName val="PAKET STARTEGIS"/>
      <sheetName val="PAKET BANKEU"/>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195BB-0122-40A8-8EA6-D9D7B213560F}">
  <dimension ref="A1:AK1201"/>
  <sheetViews>
    <sheetView showGridLines="0" tabSelected="1" view="pageBreakPreview" topLeftCell="A1190" zoomScale="90" zoomScaleNormal="100" zoomScaleSheetLayoutView="90" workbookViewId="0">
      <selection activeCell="B1202" sqref="B1202"/>
    </sheetView>
  </sheetViews>
  <sheetFormatPr defaultRowHeight="15" x14ac:dyDescent="0.25"/>
  <cols>
    <col min="1" max="1" width="46" style="4" customWidth="1"/>
    <col min="2" max="2" width="13.42578125" style="4" customWidth="1"/>
    <col min="3" max="3" width="13.85546875" style="4" customWidth="1"/>
    <col min="4" max="4" width="13" style="3" bestFit="1" customWidth="1"/>
    <col min="5" max="5" width="15" style="3" bestFit="1" customWidth="1"/>
    <col min="6" max="6" width="16.28515625" style="3" customWidth="1"/>
    <col min="7" max="7" width="10.28515625" style="4" customWidth="1"/>
    <col min="8" max="8" width="16" style="2" bestFit="1" customWidth="1"/>
    <col min="9" max="9" width="20" style="3" bestFit="1" customWidth="1"/>
    <col min="10" max="16384" width="9.140625" style="4"/>
  </cols>
  <sheetData>
    <row r="1" spans="1:14" x14ac:dyDescent="0.25">
      <c r="A1" s="1"/>
      <c r="B1" s="1"/>
      <c r="C1" s="1"/>
      <c r="D1" s="1"/>
      <c r="E1" s="1"/>
      <c r="F1" s="1"/>
      <c r="G1" s="1"/>
    </row>
    <row r="2" spans="1:14" ht="15.75" x14ac:dyDescent="0.25">
      <c r="A2" s="47" t="s">
        <v>0</v>
      </c>
      <c r="B2" s="47"/>
      <c r="C2" s="47"/>
      <c r="D2" s="47"/>
      <c r="E2" s="47"/>
      <c r="F2" s="47"/>
      <c r="G2" s="47"/>
      <c r="H2" s="4"/>
      <c r="I2" s="4"/>
    </row>
    <row r="3" spans="1:14" ht="15.75" x14ac:dyDescent="0.25">
      <c r="A3" s="47" t="s">
        <v>1</v>
      </c>
      <c r="B3" s="47"/>
      <c r="C3" s="47"/>
      <c r="D3" s="47"/>
      <c r="E3" s="47"/>
      <c r="F3" s="47"/>
      <c r="G3" s="47"/>
      <c r="H3" s="4"/>
      <c r="I3" s="4"/>
    </row>
    <row r="4" spans="1:14" ht="15.75" x14ac:dyDescent="0.25">
      <c r="A4" s="47" t="s">
        <v>2</v>
      </c>
      <c r="B4" s="47"/>
      <c r="C4" s="47"/>
      <c r="D4" s="47"/>
      <c r="E4" s="47"/>
      <c r="F4" s="47"/>
      <c r="G4" s="47"/>
      <c r="H4" s="4"/>
      <c r="I4" s="4"/>
    </row>
    <row r="5" spans="1:14" x14ac:dyDescent="0.25">
      <c r="B5" s="5"/>
      <c r="F5" s="5"/>
      <c r="H5" s="3"/>
    </row>
    <row r="6" spans="1:14" x14ac:dyDescent="0.25">
      <c r="A6" s="45" t="s">
        <v>3</v>
      </c>
      <c r="B6" s="45" t="s">
        <v>4</v>
      </c>
      <c r="C6" s="45" t="s">
        <v>5</v>
      </c>
      <c r="D6" s="10"/>
      <c r="E6" s="43" t="s">
        <v>6</v>
      </c>
      <c r="F6" s="6" t="s">
        <v>7</v>
      </c>
      <c r="G6" s="6"/>
      <c r="H6" s="7"/>
      <c r="I6" s="8"/>
      <c r="J6" s="9"/>
      <c r="K6" s="9"/>
      <c r="L6" s="9"/>
      <c r="M6" s="9"/>
      <c r="N6" s="9"/>
    </row>
    <row r="7" spans="1:14" x14ac:dyDescent="0.25">
      <c r="A7" s="46"/>
      <c r="B7" s="46"/>
      <c r="C7" s="46"/>
      <c r="D7" s="11" t="s">
        <v>8</v>
      </c>
      <c r="E7" s="44"/>
      <c r="F7" s="11" t="s">
        <v>9</v>
      </c>
      <c r="G7" s="10" t="s">
        <v>10</v>
      </c>
      <c r="H7" s="7"/>
      <c r="I7" s="8"/>
      <c r="J7" s="9"/>
      <c r="K7" s="9"/>
      <c r="L7" s="9"/>
      <c r="M7" s="9"/>
      <c r="N7" s="9"/>
    </row>
    <row r="8" spans="1:14" ht="24" x14ac:dyDescent="0.25">
      <c r="A8" s="12" t="s">
        <v>11</v>
      </c>
      <c r="B8" s="13">
        <f>SUM(B9,B14,B29,B44,B53,B76,B99,B126,B134)</f>
        <v>23181984350</v>
      </c>
      <c r="C8" s="12"/>
      <c r="D8" s="13"/>
      <c r="E8" s="13">
        <f>SUM(E9,E14,E29,E44,E53,E76,E99,E126,E134)</f>
        <v>2162388161</v>
      </c>
      <c r="F8" s="13">
        <f>SUM(F9,F14,F29,F44,F53,F76,F99,F126,F134)</f>
        <v>21019596189</v>
      </c>
      <c r="G8" s="14">
        <f>AVERAGE(G9,G14,G29,G44,G53,G76,G99,G126,G134)</f>
        <v>100</v>
      </c>
      <c r="H8" s="15"/>
      <c r="I8" s="16"/>
    </row>
    <row r="9" spans="1:14" ht="24" x14ac:dyDescent="0.25">
      <c r="A9" s="17" t="s">
        <v>12</v>
      </c>
      <c r="B9" s="18">
        <f>SUM(B10,B12)</f>
        <v>78862500</v>
      </c>
      <c r="C9" s="19"/>
      <c r="D9" s="20"/>
      <c r="E9" s="18">
        <f>SUM(E10,E12)</f>
        <v>12931000</v>
      </c>
      <c r="F9" s="18">
        <f>SUM(F10,F12)</f>
        <v>65931500</v>
      </c>
      <c r="G9" s="21">
        <f>AVERAGE(G10,G12)</f>
        <v>100</v>
      </c>
      <c r="H9" s="22"/>
      <c r="I9" s="16"/>
    </row>
    <row r="10" spans="1:14" x14ac:dyDescent="0.25">
      <c r="A10" s="23" t="s">
        <v>13</v>
      </c>
      <c r="B10" s="24">
        <f>B11</f>
        <v>38887500</v>
      </c>
      <c r="C10" s="25"/>
      <c r="D10" s="26"/>
      <c r="E10" s="24">
        <f>SUM(E11)</f>
        <v>7920000</v>
      </c>
      <c r="F10" s="24">
        <f>F11</f>
        <v>30967500</v>
      </c>
      <c r="G10" s="27">
        <f>G11</f>
        <v>100</v>
      </c>
      <c r="H10" s="22"/>
      <c r="I10" s="16"/>
    </row>
    <row r="11" spans="1:14" x14ac:dyDescent="0.25">
      <c r="A11" s="28" t="s">
        <v>14</v>
      </c>
      <c r="B11" s="29">
        <v>38887500</v>
      </c>
      <c r="C11" s="28" t="s">
        <v>15</v>
      </c>
      <c r="D11" s="29">
        <f>F11</f>
        <v>30967500</v>
      </c>
      <c r="E11" s="29">
        <f>B11-F11</f>
        <v>7920000</v>
      </c>
      <c r="F11" s="29">
        <v>30967500</v>
      </c>
      <c r="G11" s="30">
        <v>100</v>
      </c>
      <c r="H11" s="22"/>
      <c r="I11" s="16"/>
    </row>
    <row r="12" spans="1:14" x14ac:dyDescent="0.25">
      <c r="A12" s="23" t="s">
        <v>16</v>
      </c>
      <c r="B12" s="24">
        <f>B13</f>
        <v>39975000</v>
      </c>
      <c r="C12" s="25"/>
      <c r="D12" s="26"/>
      <c r="E12" s="24">
        <f>E13</f>
        <v>5011000</v>
      </c>
      <c r="F12" s="24">
        <f>F13</f>
        <v>34964000</v>
      </c>
      <c r="G12" s="27">
        <f>G13</f>
        <v>100</v>
      </c>
      <c r="H12" s="22"/>
      <c r="I12" s="16"/>
    </row>
    <row r="13" spans="1:14" x14ac:dyDescent="0.25">
      <c r="A13" s="28" t="s">
        <v>14</v>
      </c>
      <c r="B13" s="29">
        <v>39975000</v>
      </c>
      <c r="C13" s="28" t="s">
        <v>15</v>
      </c>
      <c r="D13" s="29">
        <f>F13</f>
        <v>34964000</v>
      </c>
      <c r="E13" s="29">
        <f>B13-F13</f>
        <v>5011000</v>
      </c>
      <c r="F13" s="29">
        <v>34964000</v>
      </c>
      <c r="G13" s="30">
        <v>100</v>
      </c>
      <c r="H13" s="22"/>
      <c r="I13" s="16"/>
    </row>
    <row r="14" spans="1:14" x14ac:dyDescent="0.25">
      <c r="A14" s="17" t="s">
        <v>17</v>
      </c>
      <c r="B14" s="18">
        <f>SUM(B15,B17,B19,B21,B23,B25,B27)</f>
        <v>12270399800</v>
      </c>
      <c r="C14" s="19"/>
      <c r="D14" s="20"/>
      <c r="E14" s="18">
        <f>SUM(E15,E17,E19,E21,E23,E25,E27)</f>
        <v>1317298579</v>
      </c>
      <c r="F14" s="18">
        <f>SUM(F15,F17,F19,F21,F23,F25,F27)</f>
        <v>10953101221</v>
      </c>
      <c r="G14" s="21">
        <f>AVERAGE(G15,G18,G19,G21,G23,G25,G27)</f>
        <v>100</v>
      </c>
      <c r="H14" s="22"/>
      <c r="I14" s="16"/>
    </row>
    <row r="15" spans="1:14" x14ac:dyDescent="0.25">
      <c r="A15" s="23" t="s">
        <v>18</v>
      </c>
      <c r="B15" s="24">
        <f>SUM(B16)</f>
        <v>11916539800</v>
      </c>
      <c r="C15" s="25"/>
      <c r="D15" s="26"/>
      <c r="E15" s="24">
        <f>E16</f>
        <v>1270230965</v>
      </c>
      <c r="F15" s="24">
        <f>SUM(F16)</f>
        <v>10646308835</v>
      </c>
      <c r="G15" s="27">
        <f>G16</f>
        <v>100</v>
      </c>
      <c r="H15" s="22"/>
      <c r="I15" s="16"/>
    </row>
    <row r="16" spans="1:14" x14ac:dyDescent="0.25">
      <c r="A16" s="28" t="s">
        <v>14</v>
      </c>
      <c r="B16" s="29">
        <v>11916539800</v>
      </c>
      <c r="C16" s="28" t="s">
        <v>15</v>
      </c>
      <c r="D16" s="29">
        <f>F16</f>
        <v>10646308835</v>
      </c>
      <c r="E16" s="29">
        <f>B16-F16</f>
        <v>1270230965</v>
      </c>
      <c r="F16" s="29">
        <v>10646308835</v>
      </c>
      <c r="G16" s="30">
        <v>100</v>
      </c>
      <c r="H16" s="16"/>
      <c r="I16" s="16"/>
    </row>
    <row r="17" spans="1:9" x14ac:dyDescent="0.25">
      <c r="A17" s="23" t="s">
        <v>19</v>
      </c>
      <c r="B17" s="24">
        <f>SUM(B18:B18)</f>
        <v>118000000</v>
      </c>
      <c r="C17" s="25"/>
      <c r="D17" s="26"/>
      <c r="E17" s="24">
        <f>SUM(E18:E18)</f>
        <v>40873914</v>
      </c>
      <c r="F17" s="24">
        <f>SUM(F18:F18)</f>
        <v>77126086</v>
      </c>
      <c r="G17" s="27">
        <f>G18</f>
        <v>100</v>
      </c>
      <c r="H17" s="22"/>
      <c r="I17" s="16"/>
    </row>
    <row r="18" spans="1:9" x14ac:dyDescent="0.25">
      <c r="A18" s="28" t="s">
        <v>14</v>
      </c>
      <c r="B18" s="29">
        <v>118000000</v>
      </c>
      <c r="C18" s="28" t="s">
        <v>15</v>
      </c>
      <c r="D18" s="29">
        <f>F18</f>
        <v>77126086</v>
      </c>
      <c r="E18" s="29">
        <f>B18-F18</f>
        <v>40873914</v>
      </c>
      <c r="F18" s="29">
        <v>77126086</v>
      </c>
      <c r="G18" s="30">
        <v>100</v>
      </c>
      <c r="H18" s="16"/>
      <c r="I18" s="16"/>
    </row>
    <row r="19" spans="1:9" ht="24" x14ac:dyDescent="0.25">
      <c r="A19" s="23" t="s">
        <v>20</v>
      </c>
      <c r="B19" s="24">
        <f>B20</f>
        <v>200000000</v>
      </c>
      <c r="C19" s="25"/>
      <c r="D19" s="26"/>
      <c r="E19" s="24">
        <f>E20</f>
        <v>5303000</v>
      </c>
      <c r="F19" s="24">
        <f>F20</f>
        <v>194697000</v>
      </c>
      <c r="G19" s="27">
        <f>G20</f>
        <v>100</v>
      </c>
      <c r="H19" s="22"/>
      <c r="I19" s="16"/>
    </row>
    <row r="20" spans="1:9" x14ac:dyDescent="0.25">
      <c r="A20" s="28" t="s">
        <v>14</v>
      </c>
      <c r="B20" s="29">
        <v>200000000</v>
      </c>
      <c r="C20" s="28" t="s">
        <v>15</v>
      </c>
      <c r="D20" s="29">
        <f>F20</f>
        <v>194697000</v>
      </c>
      <c r="E20" s="29">
        <f>B20-F20</f>
        <v>5303000</v>
      </c>
      <c r="F20" s="29">
        <v>194697000</v>
      </c>
      <c r="G20" s="30">
        <v>100</v>
      </c>
      <c r="H20" s="22"/>
      <c r="I20" s="16"/>
    </row>
    <row r="21" spans="1:9" ht="24" x14ac:dyDescent="0.25">
      <c r="A21" s="23" t="s">
        <v>21</v>
      </c>
      <c r="B21" s="24">
        <f>B22</f>
        <v>9500000</v>
      </c>
      <c r="C21" s="25"/>
      <c r="D21" s="26"/>
      <c r="E21" s="24">
        <f>E22</f>
        <v>356000</v>
      </c>
      <c r="F21" s="24">
        <f>F22</f>
        <v>9144000</v>
      </c>
      <c r="G21" s="27">
        <f>G22</f>
        <v>100</v>
      </c>
      <c r="H21" s="22"/>
      <c r="I21" s="16"/>
    </row>
    <row r="22" spans="1:9" x14ac:dyDescent="0.25">
      <c r="A22" s="28" t="s">
        <v>14</v>
      </c>
      <c r="B22" s="29">
        <v>9500000</v>
      </c>
      <c r="C22" s="28" t="s">
        <v>15</v>
      </c>
      <c r="D22" s="29">
        <f>F22</f>
        <v>9144000</v>
      </c>
      <c r="E22" s="29">
        <f>B22-F22</f>
        <v>356000</v>
      </c>
      <c r="F22" s="29">
        <v>9144000</v>
      </c>
      <c r="G22" s="30">
        <v>100</v>
      </c>
      <c r="H22" s="22"/>
      <c r="I22" s="16"/>
    </row>
    <row r="23" spans="1:9" x14ac:dyDescent="0.25">
      <c r="A23" s="23" t="s">
        <v>22</v>
      </c>
      <c r="B23" s="24">
        <f>B24</f>
        <v>7500000</v>
      </c>
      <c r="C23" s="25"/>
      <c r="D23" s="26"/>
      <c r="E23" s="24">
        <f>E24</f>
        <v>127000</v>
      </c>
      <c r="F23" s="24">
        <f>F24</f>
        <v>7373000</v>
      </c>
      <c r="G23" s="27">
        <f>G24</f>
        <v>100</v>
      </c>
      <c r="H23" s="22"/>
      <c r="I23" s="16"/>
    </row>
    <row r="24" spans="1:9" x14ac:dyDescent="0.25">
      <c r="A24" s="28" t="s">
        <v>14</v>
      </c>
      <c r="B24" s="29">
        <v>7500000</v>
      </c>
      <c r="C24" s="28" t="s">
        <v>15</v>
      </c>
      <c r="D24" s="29">
        <f>F24</f>
        <v>7373000</v>
      </c>
      <c r="E24" s="29">
        <f>B24-F24</f>
        <v>127000</v>
      </c>
      <c r="F24" s="29">
        <v>7373000</v>
      </c>
      <c r="G24" s="30">
        <v>100</v>
      </c>
      <c r="H24" s="22"/>
      <c r="I24" s="16"/>
    </row>
    <row r="25" spans="1:9" ht="24" x14ac:dyDescent="0.25">
      <c r="A25" s="23" t="s">
        <v>23</v>
      </c>
      <c r="B25" s="24">
        <f>B26</f>
        <v>10860000</v>
      </c>
      <c r="C25" s="25"/>
      <c r="D25" s="26"/>
      <c r="E25" s="24">
        <f>E26</f>
        <v>134200</v>
      </c>
      <c r="F25" s="24">
        <f>F26</f>
        <v>10725800</v>
      </c>
      <c r="G25" s="27">
        <f>G26</f>
        <v>100</v>
      </c>
      <c r="H25" s="22"/>
      <c r="I25" s="16"/>
    </row>
    <row r="26" spans="1:9" x14ac:dyDescent="0.25">
      <c r="A26" s="28" t="s">
        <v>14</v>
      </c>
      <c r="B26" s="29">
        <v>10860000</v>
      </c>
      <c r="C26" s="28" t="s">
        <v>15</v>
      </c>
      <c r="D26" s="29">
        <f>F26</f>
        <v>10725800</v>
      </c>
      <c r="E26" s="29">
        <f>B26-F26</f>
        <v>134200</v>
      </c>
      <c r="F26" s="29">
        <v>10725800</v>
      </c>
      <c r="G26" s="30">
        <v>100</v>
      </c>
      <c r="H26" s="22"/>
      <c r="I26" s="16"/>
    </row>
    <row r="27" spans="1:9" ht="24" x14ac:dyDescent="0.25">
      <c r="A27" s="23" t="s">
        <v>24</v>
      </c>
      <c r="B27" s="24">
        <f>B28</f>
        <v>8000000</v>
      </c>
      <c r="C27" s="25"/>
      <c r="D27" s="26"/>
      <c r="E27" s="24">
        <f>E28</f>
        <v>273500</v>
      </c>
      <c r="F27" s="24">
        <f>F28</f>
        <v>7726500</v>
      </c>
      <c r="G27" s="27">
        <f>G28</f>
        <v>100</v>
      </c>
      <c r="H27" s="22"/>
      <c r="I27" s="16"/>
    </row>
    <row r="28" spans="1:9" x14ac:dyDescent="0.25">
      <c r="A28" s="28" t="s">
        <v>14</v>
      </c>
      <c r="B28" s="29">
        <v>8000000</v>
      </c>
      <c r="C28" s="28" t="s">
        <v>15</v>
      </c>
      <c r="D28" s="29">
        <f>F28</f>
        <v>7726500</v>
      </c>
      <c r="E28" s="29">
        <f>B28-F28</f>
        <v>273500</v>
      </c>
      <c r="F28" s="29">
        <v>7726500</v>
      </c>
      <c r="G28" s="30">
        <v>100</v>
      </c>
      <c r="H28" s="22"/>
      <c r="I28" s="16"/>
    </row>
    <row r="29" spans="1:9" x14ac:dyDescent="0.25">
      <c r="A29" s="17" t="s">
        <v>25</v>
      </c>
      <c r="B29" s="18">
        <f>SUM(B30,B32,B34,B36,B38,B40,B42)</f>
        <v>264461000</v>
      </c>
      <c r="C29" s="19"/>
      <c r="D29" s="20"/>
      <c r="E29" s="18">
        <f>SUM(E30,E32,E34,E36,E38,E40,E42)</f>
        <v>4034600</v>
      </c>
      <c r="F29" s="18">
        <f>SUM(F30,F32,F34,F36,F38,F40,F42)</f>
        <v>260426400</v>
      </c>
      <c r="G29" s="21">
        <f>AVERAGE(G30,G32,G34,G36,G38,G40,G42)</f>
        <v>100</v>
      </c>
      <c r="H29" s="22"/>
      <c r="I29" s="16"/>
    </row>
    <row r="30" spans="1:9" ht="24" x14ac:dyDescent="0.25">
      <c r="A30" s="23" t="s">
        <v>26</v>
      </c>
      <c r="B30" s="24">
        <f>SUM(B31)</f>
        <v>9500000</v>
      </c>
      <c r="C30" s="25"/>
      <c r="D30" s="26"/>
      <c r="E30" s="24">
        <f>E31</f>
        <v>200</v>
      </c>
      <c r="F30" s="24">
        <f>SUM(F31)</f>
        <v>9499800</v>
      </c>
      <c r="G30" s="31">
        <f>G31</f>
        <v>100</v>
      </c>
      <c r="H30" s="22"/>
      <c r="I30" s="16"/>
    </row>
    <row r="31" spans="1:9" x14ac:dyDescent="0.25">
      <c r="A31" s="28" t="s">
        <v>14</v>
      </c>
      <c r="B31" s="29">
        <v>9500000</v>
      </c>
      <c r="C31" s="28" t="s">
        <v>15</v>
      </c>
      <c r="D31" s="29">
        <f>F31</f>
        <v>9499800</v>
      </c>
      <c r="E31" s="29">
        <f>B31-F31</f>
        <v>200</v>
      </c>
      <c r="F31" s="29">
        <v>9499800</v>
      </c>
      <c r="G31" s="30">
        <v>100</v>
      </c>
      <c r="H31" s="22"/>
      <c r="I31" s="16"/>
    </row>
    <row r="32" spans="1:9" x14ac:dyDescent="0.25">
      <c r="A32" s="23" t="s">
        <v>27</v>
      </c>
      <c r="B32" s="24">
        <f>SUM(B33)</f>
        <v>78615000</v>
      </c>
      <c r="C32" s="25"/>
      <c r="D32" s="26"/>
      <c r="E32" s="24">
        <f>E33</f>
        <v>2975000</v>
      </c>
      <c r="F32" s="24">
        <f>SUM(F33)</f>
        <v>75640000</v>
      </c>
      <c r="G32" s="27">
        <f>G33</f>
        <v>100</v>
      </c>
      <c r="H32" s="22"/>
      <c r="I32" s="16"/>
    </row>
    <row r="33" spans="1:9" x14ac:dyDescent="0.25">
      <c r="A33" s="28" t="s">
        <v>14</v>
      </c>
      <c r="B33" s="29">
        <v>78615000</v>
      </c>
      <c r="C33" s="28" t="s">
        <v>15</v>
      </c>
      <c r="D33" s="29">
        <f>F33</f>
        <v>75640000</v>
      </c>
      <c r="E33" s="29">
        <f>B33-F33</f>
        <v>2975000</v>
      </c>
      <c r="F33" s="29">
        <v>75640000</v>
      </c>
      <c r="G33" s="30">
        <v>100</v>
      </c>
      <c r="H33" s="22"/>
      <c r="I33" s="16"/>
    </row>
    <row r="34" spans="1:9" x14ac:dyDescent="0.25">
      <c r="A34" s="23" t="s">
        <v>28</v>
      </c>
      <c r="B34" s="24">
        <f>SUM(B35)</f>
        <v>94296000</v>
      </c>
      <c r="C34" s="25"/>
      <c r="D34" s="26"/>
      <c r="E34" s="24">
        <f>E35</f>
        <v>276000</v>
      </c>
      <c r="F34" s="24">
        <f>SUM(F35)</f>
        <v>94020000</v>
      </c>
      <c r="G34" s="27">
        <f>G35</f>
        <v>100</v>
      </c>
      <c r="H34" s="22"/>
      <c r="I34" s="16"/>
    </row>
    <row r="35" spans="1:9" x14ac:dyDescent="0.25">
      <c r="A35" s="28" t="s">
        <v>14</v>
      </c>
      <c r="B35" s="29">
        <v>94296000</v>
      </c>
      <c r="C35" s="28" t="s">
        <v>15</v>
      </c>
      <c r="D35" s="29">
        <f>F35</f>
        <v>94020000</v>
      </c>
      <c r="E35" s="29">
        <f>B35-F35</f>
        <v>276000</v>
      </c>
      <c r="F35" s="29">
        <v>94020000</v>
      </c>
      <c r="G35" s="30">
        <v>100</v>
      </c>
      <c r="H35" s="22"/>
      <c r="I35" s="16"/>
    </row>
    <row r="36" spans="1:9" ht="24" x14ac:dyDescent="0.25">
      <c r="A36" s="23" t="s">
        <v>29</v>
      </c>
      <c r="B36" s="24">
        <f>SUM(B37)</f>
        <v>6550000</v>
      </c>
      <c r="C36" s="25"/>
      <c r="D36" s="26"/>
      <c r="E36" s="24">
        <f>E37</f>
        <v>151000</v>
      </c>
      <c r="F36" s="24">
        <f>SUM(F37)</f>
        <v>6399000</v>
      </c>
      <c r="G36" s="27">
        <f>G37</f>
        <v>100</v>
      </c>
      <c r="H36" s="22"/>
      <c r="I36" s="16"/>
    </row>
    <row r="37" spans="1:9" x14ac:dyDescent="0.25">
      <c r="A37" s="28" t="s">
        <v>14</v>
      </c>
      <c r="B37" s="29">
        <v>6550000</v>
      </c>
      <c r="C37" s="28" t="s">
        <v>15</v>
      </c>
      <c r="D37" s="29">
        <f>F37</f>
        <v>6399000</v>
      </c>
      <c r="E37" s="29">
        <f>B37-F37</f>
        <v>151000</v>
      </c>
      <c r="F37" s="29">
        <v>6399000</v>
      </c>
      <c r="G37" s="30">
        <v>100</v>
      </c>
      <c r="H37" s="22"/>
      <c r="I37" s="16"/>
    </row>
    <row r="38" spans="1:9" ht="24" x14ac:dyDescent="0.25">
      <c r="A38" s="23" t="s">
        <v>30</v>
      </c>
      <c r="B38" s="24">
        <f>SUM(B39)</f>
        <v>2504000</v>
      </c>
      <c r="C38" s="25"/>
      <c r="D38" s="26"/>
      <c r="E38" s="24">
        <f>E39</f>
        <v>14000</v>
      </c>
      <c r="F38" s="24">
        <f>SUM(F39)</f>
        <v>2490000</v>
      </c>
      <c r="G38" s="27">
        <f>G39</f>
        <v>100</v>
      </c>
      <c r="H38" s="22"/>
      <c r="I38" s="16"/>
    </row>
    <row r="39" spans="1:9" x14ac:dyDescent="0.25">
      <c r="A39" s="28" t="s">
        <v>14</v>
      </c>
      <c r="B39" s="29">
        <v>2504000</v>
      </c>
      <c r="C39" s="28" t="s">
        <v>15</v>
      </c>
      <c r="D39" s="29">
        <f>F39</f>
        <v>2490000</v>
      </c>
      <c r="E39" s="29">
        <f>B39-F39</f>
        <v>14000</v>
      </c>
      <c r="F39" s="29">
        <v>2490000</v>
      </c>
      <c r="G39" s="30">
        <v>100</v>
      </c>
      <c r="H39" s="22"/>
      <c r="I39" s="16"/>
    </row>
    <row r="40" spans="1:9" x14ac:dyDescent="0.25">
      <c r="A40" s="23" t="s">
        <v>31</v>
      </c>
      <c r="B40" s="24">
        <f>SUM(B41)</f>
        <v>62996000</v>
      </c>
      <c r="C40" s="25"/>
      <c r="D40" s="26"/>
      <c r="E40" s="24">
        <f>E41</f>
        <v>418400</v>
      </c>
      <c r="F40" s="24">
        <f>SUM(F41)</f>
        <v>62577600</v>
      </c>
      <c r="G40" s="27">
        <f>G41</f>
        <v>100</v>
      </c>
      <c r="H40" s="22"/>
      <c r="I40" s="16"/>
    </row>
    <row r="41" spans="1:9" x14ac:dyDescent="0.25">
      <c r="A41" s="28" t="s">
        <v>14</v>
      </c>
      <c r="B41" s="29">
        <v>62996000</v>
      </c>
      <c r="C41" s="28" t="s">
        <v>15</v>
      </c>
      <c r="D41" s="29">
        <f>F41</f>
        <v>62577600</v>
      </c>
      <c r="E41" s="29">
        <f>B41-F41</f>
        <v>418400</v>
      </c>
      <c r="F41" s="29">
        <v>62577600</v>
      </c>
      <c r="G41" s="30">
        <v>100</v>
      </c>
      <c r="H41" s="22"/>
      <c r="I41" s="16"/>
    </row>
    <row r="42" spans="1:9" x14ac:dyDescent="0.25">
      <c r="A42" s="23" t="s">
        <v>32</v>
      </c>
      <c r="B42" s="24">
        <f>SUM(B43)</f>
        <v>10000000</v>
      </c>
      <c r="C42" s="25"/>
      <c r="D42" s="26"/>
      <c r="E42" s="24">
        <f>E43</f>
        <v>200000</v>
      </c>
      <c r="F42" s="24">
        <f>SUM(F43)</f>
        <v>9800000</v>
      </c>
      <c r="G42" s="27">
        <f>G43</f>
        <v>100</v>
      </c>
      <c r="H42" s="22"/>
      <c r="I42" s="16"/>
    </row>
    <row r="43" spans="1:9" x14ac:dyDescent="0.25">
      <c r="A43" s="28" t="s">
        <v>14</v>
      </c>
      <c r="B43" s="29">
        <v>10000000</v>
      </c>
      <c r="C43" s="28" t="s">
        <v>15</v>
      </c>
      <c r="D43" s="29">
        <f>F43</f>
        <v>9800000</v>
      </c>
      <c r="E43" s="29">
        <f>B43-F43</f>
        <v>200000</v>
      </c>
      <c r="F43" s="29">
        <v>9800000</v>
      </c>
      <c r="G43" s="30">
        <v>100</v>
      </c>
      <c r="H43" s="22"/>
      <c r="I43" s="16"/>
    </row>
    <row r="44" spans="1:9" ht="24" x14ac:dyDescent="0.25">
      <c r="A44" s="17" t="s">
        <v>33</v>
      </c>
      <c r="B44" s="18">
        <f>SUM(B45,B47,B49,B51)</f>
        <v>18500000</v>
      </c>
      <c r="C44" s="19"/>
      <c r="D44" s="20"/>
      <c r="E44" s="18">
        <f>SUM(E45,E47,E49,E51)</f>
        <v>390300</v>
      </c>
      <c r="F44" s="18">
        <f>SUM(F45,F47,F49,F51)</f>
        <v>18109700</v>
      </c>
      <c r="G44" s="21">
        <f>AVERAGE(G45,G47,G51,G49)</f>
        <v>100</v>
      </c>
      <c r="H44" s="22"/>
      <c r="I44" s="16"/>
    </row>
    <row r="45" spans="1:9" x14ac:dyDescent="0.25">
      <c r="A45" s="23" t="s">
        <v>34</v>
      </c>
      <c r="B45" s="24">
        <f>SUM(B46)</f>
        <v>7000000</v>
      </c>
      <c r="C45" s="25"/>
      <c r="D45" s="26"/>
      <c r="E45" s="24">
        <f>SUM(E46)</f>
        <v>70100</v>
      </c>
      <c r="F45" s="24">
        <f>SUM(F46)</f>
        <v>6929900</v>
      </c>
      <c r="G45" s="27">
        <f>G46</f>
        <v>100</v>
      </c>
      <c r="H45" s="22"/>
      <c r="I45" s="16"/>
    </row>
    <row r="46" spans="1:9" x14ac:dyDescent="0.25">
      <c r="A46" s="28" t="s">
        <v>14</v>
      </c>
      <c r="B46" s="29">
        <v>7000000</v>
      </c>
      <c r="C46" s="28" t="s">
        <v>15</v>
      </c>
      <c r="D46" s="29">
        <f>F46</f>
        <v>6929900</v>
      </c>
      <c r="E46" s="29">
        <f>B46-F46</f>
        <v>70100</v>
      </c>
      <c r="F46" s="29">
        <v>6929900</v>
      </c>
      <c r="G46" s="30">
        <v>100</v>
      </c>
      <c r="H46" s="22"/>
      <c r="I46" s="16"/>
    </row>
    <row r="47" spans="1:9" ht="24" x14ac:dyDescent="0.25">
      <c r="A47" s="23" t="s">
        <v>35</v>
      </c>
      <c r="B47" s="24">
        <f>SUM(B48)</f>
        <v>4000000</v>
      </c>
      <c r="C47" s="25"/>
      <c r="D47" s="26"/>
      <c r="E47" s="24">
        <f>SUM(E48)</f>
        <v>2200</v>
      </c>
      <c r="F47" s="24">
        <f>SUM(F48)</f>
        <v>3997800</v>
      </c>
      <c r="G47" s="27">
        <f>G48</f>
        <v>100</v>
      </c>
      <c r="H47" s="22"/>
      <c r="I47" s="16"/>
    </row>
    <row r="48" spans="1:9" x14ac:dyDescent="0.25">
      <c r="A48" s="28" t="s">
        <v>14</v>
      </c>
      <c r="B48" s="29">
        <v>4000000</v>
      </c>
      <c r="C48" s="28" t="s">
        <v>15</v>
      </c>
      <c r="D48" s="29">
        <f>F48</f>
        <v>3997800</v>
      </c>
      <c r="E48" s="29">
        <f>B48-F48</f>
        <v>2200</v>
      </c>
      <c r="F48" s="29">
        <v>3997800</v>
      </c>
      <c r="G48" s="30">
        <v>100</v>
      </c>
      <c r="H48" s="22"/>
      <c r="I48" s="16"/>
    </row>
    <row r="49" spans="1:9" x14ac:dyDescent="0.25">
      <c r="A49" s="23" t="s">
        <v>36</v>
      </c>
      <c r="B49" s="24">
        <f>SUM(B50)</f>
        <v>3500000</v>
      </c>
      <c r="C49" s="25"/>
      <c r="D49" s="26"/>
      <c r="E49" s="24">
        <f>SUM(E50)</f>
        <v>200000</v>
      </c>
      <c r="F49" s="24">
        <f>SUM(F50)</f>
        <v>3300000</v>
      </c>
      <c r="G49" s="27">
        <f>G50</f>
        <v>100</v>
      </c>
      <c r="H49" s="22"/>
      <c r="I49" s="16"/>
    </row>
    <row r="50" spans="1:9" x14ac:dyDescent="0.25">
      <c r="A50" s="28" t="s">
        <v>14</v>
      </c>
      <c r="B50" s="29">
        <v>3500000</v>
      </c>
      <c r="C50" s="28" t="s">
        <v>15</v>
      </c>
      <c r="D50" s="29">
        <f>F50</f>
        <v>3300000</v>
      </c>
      <c r="E50" s="29">
        <f>B50-F50</f>
        <v>200000</v>
      </c>
      <c r="F50" s="29">
        <v>3300000</v>
      </c>
      <c r="G50" s="30">
        <v>100</v>
      </c>
      <c r="H50" s="22"/>
      <c r="I50" s="16"/>
    </row>
    <row r="51" spans="1:9" x14ac:dyDescent="0.25">
      <c r="A51" s="23" t="s">
        <v>37</v>
      </c>
      <c r="B51" s="24">
        <f>SUM(B52)</f>
        <v>4000000</v>
      </c>
      <c r="C51" s="25"/>
      <c r="D51" s="26"/>
      <c r="E51" s="24">
        <f>SUM(E52)</f>
        <v>118000</v>
      </c>
      <c r="F51" s="24">
        <f>SUM(F52)</f>
        <v>3882000</v>
      </c>
      <c r="G51" s="27">
        <f>G52</f>
        <v>100</v>
      </c>
      <c r="H51" s="22"/>
      <c r="I51" s="16"/>
    </row>
    <row r="52" spans="1:9" x14ac:dyDescent="0.25">
      <c r="A52" s="28" t="s">
        <v>14</v>
      </c>
      <c r="B52" s="29">
        <v>4000000</v>
      </c>
      <c r="C52" s="28" t="s">
        <v>15</v>
      </c>
      <c r="D52" s="29">
        <f>F52</f>
        <v>3882000</v>
      </c>
      <c r="E52" s="29">
        <f>B52-F52</f>
        <v>118000</v>
      </c>
      <c r="F52" s="29">
        <v>3882000</v>
      </c>
      <c r="G52" s="30">
        <v>100</v>
      </c>
      <c r="H52" s="22"/>
      <c r="I52" s="16"/>
    </row>
    <row r="53" spans="1:9" x14ac:dyDescent="0.25">
      <c r="A53" s="17" t="s">
        <v>38</v>
      </c>
      <c r="B53" s="18">
        <f>SUM(B54,B56,B58,B60,B62,B64,B66,B68,B70,B72,B74)</f>
        <v>300250000</v>
      </c>
      <c r="C53" s="19"/>
      <c r="D53" s="20"/>
      <c r="E53" s="18">
        <f>SUM(E54,E56,E58,E60,E62,E64,E66,E68,E70,E72,E74)</f>
        <v>11770620</v>
      </c>
      <c r="F53" s="18">
        <f>SUM(F54,F56,F58,F60,F62,F64,F66,F68,F70,F72,F74)</f>
        <v>288479380</v>
      </c>
      <c r="G53" s="21">
        <f>AVERAGE(G54,G56,G58,G60,G62,G70,G72,G74)</f>
        <v>100</v>
      </c>
      <c r="H53" s="22"/>
      <c r="I53" s="16"/>
    </row>
    <row r="54" spans="1:9" x14ac:dyDescent="0.25">
      <c r="A54" s="23" t="s">
        <v>39</v>
      </c>
      <c r="B54" s="24">
        <f>SUM(B55)</f>
        <v>20000000</v>
      </c>
      <c r="C54" s="25"/>
      <c r="D54" s="26"/>
      <c r="E54" s="24">
        <f>E55</f>
        <v>26000</v>
      </c>
      <c r="F54" s="24">
        <f>SUM(F55)</f>
        <v>19974000</v>
      </c>
      <c r="G54" s="27">
        <f>AVERAGE(G55)</f>
        <v>100</v>
      </c>
      <c r="H54" s="22"/>
      <c r="I54" s="16"/>
    </row>
    <row r="55" spans="1:9" x14ac:dyDescent="0.25">
      <c r="A55" s="28" t="s">
        <v>14</v>
      </c>
      <c r="B55" s="29">
        <v>20000000</v>
      </c>
      <c r="C55" s="28" t="s">
        <v>15</v>
      </c>
      <c r="D55" s="29">
        <f>F55</f>
        <v>19974000</v>
      </c>
      <c r="E55" s="29">
        <f>B55-F55</f>
        <v>26000</v>
      </c>
      <c r="F55" s="29">
        <f>19425000+549000</f>
        <v>19974000</v>
      </c>
      <c r="G55" s="30">
        <v>100</v>
      </c>
      <c r="H55" s="22"/>
      <c r="I55" s="16"/>
    </row>
    <row r="56" spans="1:9" x14ac:dyDescent="0.25">
      <c r="A56" s="23" t="s">
        <v>40</v>
      </c>
      <c r="B56" s="24">
        <f>SUM(B57)</f>
        <v>50000000</v>
      </c>
      <c r="C56" s="25"/>
      <c r="D56" s="26"/>
      <c r="E56" s="24">
        <f>E57</f>
        <v>25100</v>
      </c>
      <c r="F56" s="24">
        <f>SUM(F57)</f>
        <v>49974900</v>
      </c>
      <c r="G56" s="27">
        <f>AVERAGE(G57)</f>
        <v>100</v>
      </c>
      <c r="H56" s="22"/>
      <c r="I56" s="16"/>
    </row>
    <row r="57" spans="1:9" x14ac:dyDescent="0.25">
      <c r="A57" s="28" t="s">
        <v>14</v>
      </c>
      <c r="B57" s="29">
        <v>50000000</v>
      </c>
      <c r="C57" s="28" t="s">
        <v>15</v>
      </c>
      <c r="D57" s="29">
        <f>F57</f>
        <v>49974900</v>
      </c>
      <c r="E57" s="29">
        <f>B57-F57</f>
        <v>25100</v>
      </c>
      <c r="F57" s="29">
        <v>49974900</v>
      </c>
      <c r="G57" s="30">
        <v>100</v>
      </c>
      <c r="H57" s="22"/>
      <c r="I57" s="16"/>
    </row>
    <row r="58" spans="1:9" x14ac:dyDescent="0.25">
      <c r="A58" s="23" t="s">
        <v>41</v>
      </c>
      <c r="B58" s="24">
        <f>SUM(B59)</f>
        <v>19000000</v>
      </c>
      <c r="C58" s="25"/>
      <c r="D58" s="26"/>
      <c r="E58" s="24">
        <f>E59</f>
        <v>380800</v>
      </c>
      <c r="F58" s="24">
        <f>SUM(F59)</f>
        <v>18619200</v>
      </c>
      <c r="G58" s="27">
        <f>G59</f>
        <v>100</v>
      </c>
      <c r="H58" s="22"/>
      <c r="I58" s="16"/>
    </row>
    <row r="59" spans="1:9" x14ac:dyDescent="0.25">
      <c r="A59" s="28" t="s">
        <v>14</v>
      </c>
      <c r="B59" s="29">
        <v>19000000</v>
      </c>
      <c r="C59" s="28" t="s">
        <v>15</v>
      </c>
      <c r="D59" s="29">
        <f>F59</f>
        <v>18619200</v>
      </c>
      <c r="E59" s="29">
        <f>B59-F59</f>
        <v>380800</v>
      </c>
      <c r="F59" s="29">
        <v>18619200</v>
      </c>
      <c r="G59" s="30">
        <v>100</v>
      </c>
      <c r="H59" s="22"/>
      <c r="I59" s="16"/>
    </row>
    <row r="60" spans="1:9" x14ac:dyDescent="0.25">
      <c r="A60" s="23" t="s">
        <v>42</v>
      </c>
      <c r="B60" s="24">
        <f>SUM(B61)</f>
        <v>7550000</v>
      </c>
      <c r="C60" s="25"/>
      <c r="D60" s="26"/>
      <c r="E60" s="24">
        <f>E61</f>
        <v>230000</v>
      </c>
      <c r="F60" s="24">
        <f>SUM(F61)</f>
        <v>7320000</v>
      </c>
      <c r="G60" s="27">
        <f>G61</f>
        <v>100</v>
      </c>
      <c r="H60" s="22"/>
      <c r="I60" s="16"/>
    </row>
    <row r="61" spans="1:9" x14ac:dyDescent="0.25">
      <c r="A61" s="28" t="s">
        <v>14</v>
      </c>
      <c r="B61" s="29">
        <v>7550000</v>
      </c>
      <c r="C61" s="28" t="s">
        <v>15</v>
      </c>
      <c r="D61" s="29">
        <f>F61</f>
        <v>7320000</v>
      </c>
      <c r="E61" s="29">
        <f>B61-F61</f>
        <v>230000</v>
      </c>
      <c r="F61" s="29">
        <f>6300000+1020000</f>
        <v>7320000</v>
      </c>
      <c r="G61" s="30">
        <v>100</v>
      </c>
      <c r="H61" s="22"/>
      <c r="I61" s="16"/>
    </row>
    <row r="62" spans="1:9" x14ac:dyDescent="0.25">
      <c r="A62" s="23" t="s">
        <v>43</v>
      </c>
      <c r="B62" s="24">
        <f>SUM(B63)</f>
        <v>25250000</v>
      </c>
      <c r="C62" s="25"/>
      <c r="D62" s="26"/>
      <c r="E62" s="24">
        <f>E63</f>
        <v>5000</v>
      </c>
      <c r="F62" s="24">
        <f>SUM(F63)</f>
        <v>25245000</v>
      </c>
      <c r="G62" s="27">
        <f>G63</f>
        <v>100</v>
      </c>
      <c r="H62" s="22"/>
      <c r="I62" s="16"/>
    </row>
    <row r="63" spans="1:9" x14ac:dyDescent="0.25">
      <c r="A63" s="28" t="s">
        <v>14</v>
      </c>
      <c r="B63" s="29">
        <v>25250000</v>
      </c>
      <c r="C63" s="28" t="s">
        <v>15</v>
      </c>
      <c r="D63" s="29">
        <f>F63</f>
        <v>25245000</v>
      </c>
      <c r="E63" s="29">
        <f>B63-F63</f>
        <v>5000</v>
      </c>
      <c r="F63" s="29">
        <v>25245000</v>
      </c>
      <c r="G63" s="30">
        <v>100</v>
      </c>
      <c r="H63" s="22"/>
      <c r="I63" s="16"/>
    </row>
    <row r="64" spans="1:9" x14ac:dyDescent="0.25">
      <c r="A64" s="23" t="s">
        <v>44</v>
      </c>
      <c r="B64" s="24">
        <f>SUM(B65)</f>
        <v>0</v>
      </c>
      <c r="C64" s="25"/>
      <c r="D64" s="26"/>
      <c r="E64" s="24">
        <f>E65</f>
        <v>0</v>
      </c>
      <c r="F64" s="24">
        <f>SUM(F65)</f>
        <v>0</v>
      </c>
      <c r="G64" s="27">
        <f>AVERAGE(G65)</f>
        <v>0</v>
      </c>
      <c r="H64" s="22"/>
      <c r="I64" s="16"/>
    </row>
    <row r="65" spans="1:9" x14ac:dyDescent="0.25">
      <c r="A65" s="28" t="s">
        <v>14</v>
      </c>
      <c r="B65" s="29">
        <v>0</v>
      </c>
      <c r="C65" s="28" t="s">
        <v>15</v>
      </c>
      <c r="D65" s="29">
        <f>F65</f>
        <v>0</v>
      </c>
      <c r="E65" s="29">
        <f>B65-F65</f>
        <v>0</v>
      </c>
      <c r="F65" s="29">
        <v>0</v>
      </c>
      <c r="G65" s="30">
        <v>0</v>
      </c>
      <c r="H65" s="22"/>
      <c r="I65" s="16"/>
    </row>
    <row r="66" spans="1:9" ht="24" x14ac:dyDescent="0.25">
      <c r="A66" s="23" t="s">
        <v>45</v>
      </c>
      <c r="B66" s="24">
        <f>SUM(B67)</f>
        <v>0</v>
      </c>
      <c r="C66" s="25"/>
      <c r="D66" s="26"/>
      <c r="E66" s="24">
        <f>E67</f>
        <v>0</v>
      </c>
      <c r="F66" s="24">
        <f>SUM(F67)</f>
        <v>0</v>
      </c>
      <c r="G66" s="27">
        <f>AVERAGE(G67)</f>
        <v>0</v>
      </c>
      <c r="H66" s="22"/>
      <c r="I66" s="16"/>
    </row>
    <row r="67" spans="1:9" x14ac:dyDescent="0.25">
      <c r="A67" s="28" t="s">
        <v>14</v>
      </c>
      <c r="B67" s="29">
        <v>0</v>
      </c>
      <c r="C67" s="28" t="s">
        <v>15</v>
      </c>
      <c r="D67" s="29">
        <f>F67</f>
        <v>0</v>
      </c>
      <c r="E67" s="29">
        <f>B67-F67</f>
        <v>0</v>
      </c>
      <c r="F67" s="29">
        <v>0</v>
      </c>
      <c r="G67" s="30">
        <v>0</v>
      </c>
      <c r="H67" s="22"/>
      <c r="I67" s="16"/>
    </row>
    <row r="68" spans="1:9" x14ac:dyDescent="0.25">
      <c r="A68" s="23" t="s">
        <v>46</v>
      </c>
      <c r="B68" s="24">
        <f>SUM(B69)</f>
        <v>0</v>
      </c>
      <c r="C68" s="25"/>
      <c r="D68" s="26"/>
      <c r="E68" s="24">
        <f>E69</f>
        <v>0</v>
      </c>
      <c r="F68" s="24">
        <f>SUM(F69)</f>
        <v>0</v>
      </c>
      <c r="G68" s="27">
        <f>AVERAGE(G69)</f>
        <v>0</v>
      </c>
      <c r="H68" s="22"/>
      <c r="I68" s="16"/>
    </row>
    <row r="69" spans="1:9" x14ac:dyDescent="0.25">
      <c r="A69" s="28" t="s">
        <v>14</v>
      </c>
      <c r="B69" s="29">
        <v>0</v>
      </c>
      <c r="C69" s="28" t="s">
        <v>15</v>
      </c>
      <c r="D69" s="29">
        <f>F69</f>
        <v>0</v>
      </c>
      <c r="E69" s="29">
        <f>B69-F69</f>
        <v>0</v>
      </c>
      <c r="F69" s="29">
        <v>0</v>
      </c>
      <c r="G69" s="30">
        <v>0</v>
      </c>
      <c r="H69" s="22"/>
      <c r="I69" s="16"/>
    </row>
    <row r="70" spans="1:9" ht="24" x14ac:dyDescent="0.25">
      <c r="A70" s="23" t="s">
        <v>47</v>
      </c>
      <c r="B70" s="24">
        <f>SUM(B71)</f>
        <v>111150000</v>
      </c>
      <c r="C70" s="25"/>
      <c r="D70" s="26"/>
      <c r="E70" s="24">
        <f>E71</f>
        <v>3543400</v>
      </c>
      <c r="F70" s="24">
        <f>SUM(F71)</f>
        <v>107606600</v>
      </c>
      <c r="G70" s="27">
        <f>G71</f>
        <v>100</v>
      </c>
      <c r="H70" s="22"/>
      <c r="I70" s="16"/>
    </row>
    <row r="71" spans="1:9" x14ac:dyDescent="0.25">
      <c r="A71" s="28" t="s">
        <v>14</v>
      </c>
      <c r="B71" s="29">
        <v>111150000</v>
      </c>
      <c r="C71" s="28" t="s">
        <v>15</v>
      </c>
      <c r="D71" s="29">
        <f>F71</f>
        <v>107606600</v>
      </c>
      <c r="E71" s="29">
        <f>B71-F71</f>
        <v>3543400</v>
      </c>
      <c r="F71" s="29">
        <v>107606600</v>
      </c>
      <c r="G71" s="30">
        <v>100</v>
      </c>
      <c r="H71" s="22"/>
      <c r="I71" s="16"/>
    </row>
    <row r="72" spans="1:9" x14ac:dyDescent="0.25">
      <c r="A72" s="23" t="s">
        <v>48</v>
      </c>
      <c r="B72" s="24">
        <f>SUM(B73)</f>
        <v>42300000</v>
      </c>
      <c r="C72" s="25"/>
      <c r="D72" s="26"/>
      <c r="E72" s="24">
        <f>E73</f>
        <v>5620320</v>
      </c>
      <c r="F72" s="24">
        <f>SUM(F73)</f>
        <v>36679680</v>
      </c>
      <c r="G72" s="27">
        <f>G73</f>
        <v>100</v>
      </c>
      <c r="H72" s="22"/>
      <c r="I72" s="16"/>
    </row>
    <row r="73" spans="1:9" x14ac:dyDescent="0.25">
      <c r="A73" s="28" t="s">
        <v>14</v>
      </c>
      <c r="B73" s="29">
        <v>42300000</v>
      </c>
      <c r="C73" s="28" t="s">
        <v>15</v>
      </c>
      <c r="D73" s="29">
        <f>F73</f>
        <v>36679680</v>
      </c>
      <c r="E73" s="29">
        <f>B73-F73</f>
        <v>5620320</v>
      </c>
      <c r="F73" s="29">
        <v>36679680</v>
      </c>
      <c r="G73" s="30">
        <v>100</v>
      </c>
      <c r="H73" s="22"/>
      <c r="I73" s="16"/>
    </row>
    <row r="74" spans="1:9" ht="24" x14ac:dyDescent="0.25">
      <c r="A74" s="23" t="s">
        <v>49</v>
      </c>
      <c r="B74" s="24">
        <f>SUM(B75)</f>
        <v>25000000</v>
      </c>
      <c r="C74" s="25"/>
      <c r="D74" s="26"/>
      <c r="E74" s="24">
        <f>E75</f>
        <v>1940000</v>
      </c>
      <c r="F74" s="24">
        <f>SUM(F75)</f>
        <v>23060000</v>
      </c>
      <c r="G74" s="27">
        <f>G75</f>
        <v>100</v>
      </c>
      <c r="H74" s="22"/>
      <c r="I74" s="16"/>
    </row>
    <row r="75" spans="1:9" x14ac:dyDescent="0.25">
      <c r="A75" s="28" t="s">
        <v>14</v>
      </c>
      <c r="B75" s="29">
        <v>25000000</v>
      </c>
      <c r="C75" s="28" t="s">
        <v>15</v>
      </c>
      <c r="D75" s="29">
        <f>F75</f>
        <v>23060000</v>
      </c>
      <c r="E75" s="29">
        <f>B75-F75</f>
        <v>1940000</v>
      </c>
      <c r="F75" s="29">
        <v>23060000</v>
      </c>
      <c r="G75" s="30">
        <v>100</v>
      </c>
      <c r="H75" s="22"/>
      <c r="I75" s="16"/>
    </row>
    <row r="76" spans="1:9" x14ac:dyDescent="0.25">
      <c r="A76" s="17" t="s">
        <v>50</v>
      </c>
      <c r="B76" s="18">
        <f>SUM(B77,B79,B81,B83,B87,B89,B91,B93,B95,B97)</f>
        <v>636543600</v>
      </c>
      <c r="C76" s="19"/>
      <c r="D76" s="20"/>
      <c r="E76" s="18">
        <f>SUM(E77,E79,E81,E83,E87,E89,E91,E93,E95,E97)</f>
        <v>19973894</v>
      </c>
      <c r="F76" s="18">
        <f>SUM(F77,F79,F81,F83,F87,F89,F91,F93,F95,F97)</f>
        <v>616569706</v>
      </c>
      <c r="G76" s="21">
        <f>AVERAGE(G77,G79,G81,G83,G87,G89,G91,G93,G95)</f>
        <v>100</v>
      </c>
      <c r="H76" s="22"/>
      <c r="I76" s="16"/>
    </row>
    <row r="77" spans="1:9" ht="24" x14ac:dyDescent="0.25">
      <c r="A77" s="23" t="s">
        <v>51</v>
      </c>
      <c r="B77" s="24">
        <f>B78</f>
        <v>25000000</v>
      </c>
      <c r="C77" s="25"/>
      <c r="D77" s="26"/>
      <c r="E77" s="24">
        <f>E78</f>
        <v>68000</v>
      </c>
      <c r="F77" s="24">
        <f>F78</f>
        <v>24932000</v>
      </c>
      <c r="G77" s="27">
        <f>AVERAGE(G78)</f>
        <v>100</v>
      </c>
      <c r="H77" s="22"/>
      <c r="I77" s="16"/>
    </row>
    <row r="78" spans="1:9" x14ac:dyDescent="0.25">
      <c r="A78" s="28" t="s">
        <v>14</v>
      </c>
      <c r="B78" s="29">
        <v>25000000</v>
      </c>
      <c r="C78" s="28" t="s">
        <v>15</v>
      </c>
      <c r="D78" s="29">
        <f>F78</f>
        <v>24932000</v>
      </c>
      <c r="E78" s="29">
        <f>B78-F78</f>
        <v>68000</v>
      </c>
      <c r="F78" s="29">
        <v>24932000</v>
      </c>
      <c r="G78" s="30">
        <v>100</v>
      </c>
      <c r="H78" s="22"/>
      <c r="I78" s="16"/>
    </row>
    <row r="79" spans="1:9" x14ac:dyDescent="0.25">
      <c r="A79" s="23" t="s">
        <v>52</v>
      </c>
      <c r="B79" s="24">
        <f>B80</f>
        <v>77041100</v>
      </c>
      <c r="C79" s="25"/>
      <c r="D79" s="26"/>
      <c r="E79" s="24">
        <f>E80</f>
        <v>67500</v>
      </c>
      <c r="F79" s="24">
        <f>F80</f>
        <v>76973600</v>
      </c>
      <c r="G79" s="27">
        <f>G80</f>
        <v>100</v>
      </c>
      <c r="H79" s="22"/>
      <c r="I79" s="16"/>
    </row>
    <row r="80" spans="1:9" x14ac:dyDescent="0.25">
      <c r="A80" s="28" t="s">
        <v>14</v>
      </c>
      <c r="B80" s="29">
        <v>77041100</v>
      </c>
      <c r="C80" s="28" t="s">
        <v>15</v>
      </c>
      <c r="D80" s="29">
        <f>F80</f>
        <v>76973600</v>
      </c>
      <c r="E80" s="29">
        <f>B80-F80</f>
        <v>67500</v>
      </c>
      <c r="F80" s="29">
        <v>76973600</v>
      </c>
      <c r="G80" s="30">
        <v>100</v>
      </c>
      <c r="H80" s="22"/>
      <c r="I80" s="16"/>
    </row>
    <row r="81" spans="1:9" x14ac:dyDescent="0.25">
      <c r="A81" s="23" t="s">
        <v>53</v>
      </c>
      <c r="B81" s="24">
        <f>B82</f>
        <v>65000000</v>
      </c>
      <c r="C81" s="25"/>
      <c r="D81" s="26"/>
      <c r="E81" s="24">
        <f>E82</f>
        <v>65500</v>
      </c>
      <c r="F81" s="24">
        <f>F82</f>
        <v>64934500</v>
      </c>
      <c r="G81" s="27">
        <f>G82</f>
        <v>100</v>
      </c>
      <c r="H81" s="22"/>
      <c r="I81" s="16"/>
    </row>
    <row r="82" spans="1:9" x14ac:dyDescent="0.25">
      <c r="A82" s="28" t="s">
        <v>14</v>
      </c>
      <c r="B82" s="29">
        <v>65000000</v>
      </c>
      <c r="C82" s="28" t="s">
        <v>15</v>
      </c>
      <c r="D82" s="29">
        <f>F82</f>
        <v>64934500</v>
      </c>
      <c r="E82" s="29">
        <f>B82-F82</f>
        <v>65500</v>
      </c>
      <c r="F82" s="29">
        <v>64934500</v>
      </c>
      <c r="G82" s="30">
        <v>100</v>
      </c>
      <c r="H82" s="22"/>
      <c r="I82" s="16"/>
    </row>
    <row r="83" spans="1:9" x14ac:dyDescent="0.25">
      <c r="A83" s="23" t="s">
        <v>54</v>
      </c>
      <c r="B83" s="24">
        <f>SUM(B84:B86)</f>
        <v>224000000</v>
      </c>
      <c r="C83" s="25"/>
      <c r="D83" s="26"/>
      <c r="E83" s="24">
        <f>SUM(E84:E86)</f>
        <v>6388694</v>
      </c>
      <c r="F83" s="24">
        <f>SUM(F84:F86)</f>
        <v>217611306</v>
      </c>
      <c r="G83" s="27">
        <f>AVERAGE(G84:G85)</f>
        <v>100</v>
      </c>
      <c r="H83" s="22"/>
      <c r="I83" s="16"/>
    </row>
    <row r="84" spans="1:9" x14ac:dyDescent="0.25">
      <c r="A84" s="28" t="s">
        <v>55</v>
      </c>
      <c r="B84" s="29">
        <v>115546000</v>
      </c>
      <c r="C84" s="28" t="s">
        <v>56</v>
      </c>
      <c r="D84" s="29">
        <v>113331000</v>
      </c>
      <c r="E84" s="29">
        <f>B84-F84</f>
        <v>2215000</v>
      </c>
      <c r="F84" s="29">
        <v>113331000</v>
      </c>
      <c r="G84" s="30">
        <v>100</v>
      </c>
      <c r="H84" s="22"/>
      <c r="I84" s="16"/>
    </row>
    <row r="85" spans="1:9" x14ac:dyDescent="0.25">
      <c r="A85" s="28" t="s">
        <v>57</v>
      </c>
      <c r="B85" s="29">
        <v>83817100</v>
      </c>
      <c r="C85" s="28" t="s">
        <v>56</v>
      </c>
      <c r="D85" s="29">
        <v>80280306</v>
      </c>
      <c r="E85" s="29">
        <f>B85-F85</f>
        <v>3536794</v>
      </c>
      <c r="F85" s="29">
        <v>80280306</v>
      </c>
      <c r="G85" s="30">
        <v>100</v>
      </c>
      <c r="H85" s="22"/>
      <c r="I85" s="16"/>
    </row>
    <row r="86" spans="1:9" x14ac:dyDescent="0.25">
      <c r="A86" s="28" t="s">
        <v>58</v>
      </c>
      <c r="B86" s="29">
        <f>636900+24000000</f>
        <v>24636900</v>
      </c>
      <c r="C86" s="28" t="s">
        <v>15</v>
      </c>
      <c r="D86" s="29">
        <f>F86</f>
        <v>24000000</v>
      </c>
      <c r="E86" s="29">
        <f>B86-F86</f>
        <v>636900</v>
      </c>
      <c r="F86" s="29">
        <v>24000000</v>
      </c>
      <c r="G86" s="30">
        <f>F86/B86*100</f>
        <v>97.414853329761456</v>
      </c>
      <c r="H86" s="22"/>
      <c r="I86" s="16"/>
    </row>
    <row r="87" spans="1:9" x14ac:dyDescent="0.25">
      <c r="A87" s="23" t="s">
        <v>59</v>
      </c>
      <c r="B87" s="24">
        <f>B88</f>
        <v>27000000</v>
      </c>
      <c r="C87" s="25"/>
      <c r="D87" s="26"/>
      <c r="E87" s="24">
        <f>E88</f>
        <v>37200</v>
      </c>
      <c r="F87" s="24">
        <f>F88</f>
        <v>26962800</v>
      </c>
      <c r="G87" s="27">
        <f>AVERAGE(G88)</f>
        <v>100</v>
      </c>
      <c r="H87" s="22"/>
      <c r="I87" s="16"/>
    </row>
    <row r="88" spans="1:9" x14ac:dyDescent="0.25">
      <c r="A88" s="28" t="s">
        <v>14</v>
      </c>
      <c r="B88" s="29">
        <v>27000000</v>
      </c>
      <c r="C88" s="28" t="s">
        <v>15</v>
      </c>
      <c r="D88" s="29">
        <f>F88</f>
        <v>26962800</v>
      </c>
      <c r="E88" s="29">
        <f>B88-F88</f>
        <v>37200</v>
      </c>
      <c r="F88" s="29">
        <v>26962800</v>
      </c>
      <c r="G88" s="30">
        <v>100</v>
      </c>
      <c r="H88" s="22"/>
      <c r="I88" s="16"/>
    </row>
    <row r="89" spans="1:9" ht="24" x14ac:dyDescent="0.25">
      <c r="A89" s="23" t="s">
        <v>60</v>
      </c>
      <c r="B89" s="24">
        <f>B90</f>
        <v>158502500</v>
      </c>
      <c r="C89" s="25"/>
      <c r="D89" s="26"/>
      <c r="E89" s="24">
        <f>E90</f>
        <v>1100500</v>
      </c>
      <c r="F89" s="24">
        <f>F90</f>
        <v>157402000</v>
      </c>
      <c r="G89" s="27">
        <f>G90</f>
        <v>100</v>
      </c>
      <c r="H89" s="22"/>
      <c r="I89" s="16"/>
    </row>
    <row r="90" spans="1:9" x14ac:dyDescent="0.25">
      <c r="A90" s="28" t="s">
        <v>14</v>
      </c>
      <c r="B90" s="29">
        <v>158502500</v>
      </c>
      <c r="C90" s="28" t="s">
        <v>15</v>
      </c>
      <c r="D90" s="29">
        <f>F90</f>
        <v>157402000</v>
      </c>
      <c r="E90" s="29">
        <f>B90-F90</f>
        <v>1100500</v>
      </c>
      <c r="F90" s="29">
        <v>157402000</v>
      </c>
      <c r="G90" s="30">
        <v>100</v>
      </c>
      <c r="H90" s="22"/>
      <c r="I90" s="16"/>
    </row>
    <row r="91" spans="1:9" x14ac:dyDescent="0.25">
      <c r="A91" s="23" t="s">
        <v>61</v>
      </c>
      <c r="B91" s="24">
        <f>B92</f>
        <v>10000000</v>
      </c>
      <c r="C91" s="25"/>
      <c r="D91" s="26"/>
      <c r="E91" s="24">
        <f>E92</f>
        <v>918500</v>
      </c>
      <c r="F91" s="24">
        <f>F92</f>
        <v>9081500</v>
      </c>
      <c r="G91" s="27">
        <f>G92</f>
        <v>100</v>
      </c>
      <c r="H91" s="22"/>
      <c r="I91" s="16"/>
    </row>
    <row r="92" spans="1:9" x14ac:dyDescent="0.25">
      <c r="A92" s="28" t="s">
        <v>14</v>
      </c>
      <c r="B92" s="29">
        <v>10000000</v>
      </c>
      <c r="C92" s="28" t="s">
        <v>15</v>
      </c>
      <c r="D92" s="29">
        <f>F92</f>
        <v>9081500</v>
      </c>
      <c r="E92" s="29">
        <f>B92-F92</f>
        <v>918500</v>
      </c>
      <c r="F92" s="29">
        <v>9081500</v>
      </c>
      <c r="G92" s="30">
        <v>100</v>
      </c>
      <c r="H92" s="22"/>
      <c r="I92" s="16"/>
    </row>
    <row r="93" spans="1:9" x14ac:dyDescent="0.25">
      <c r="A93" s="23" t="s">
        <v>62</v>
      </c>
      <c r="B93" s="24">
        <f>B94</f>
        <v>24500000</v>
      </c>
      <c r="C93" s="25"/>
      <c r="D93" s="26"/>
      <c r="E93" s="24">
        <f>E94</f>
        <v>755000</v>
      </c>
      <c r="F93" s="24">
        <f>F94</f>
        <v>23745000</v>
      </c>
      <c r="G93" s="27">
        <f>AVERAGE(G94)</f>
        <v>100</v>
      </c>
      <c r="H93" s="22"/>
      <c r="I93" s="16"/>
    </row>
    <row r="94" spans="1:9" x14ac:dyDescent="0.25">
      <c r="A94" s="28" t="s">
        <v>14</v>
      </c>
      <c r="B94" s="29">
        <v>24500000</v>
      </c>
      <c r="C94" s="28" t="s">
        <v>15</v>
      </c>
      <c r="D94" s="29">
        <f>F94</f>
        <v>23745000</v>
      </c>
      <c r="E94" s="29">
        <f>B94-F94</f>
        <v>755000</v>
      </c>
      <c r="F94" s="29">
        <v>23745000</v>
      </c>
      <c r="G94" s="30">
        <v>100</v>
      </c>
      <c r="H94" s="22"/>
      <c r="I94" s="16"/>
    </row>
    <row r="95" spans="1:9" x14ac:dyDescent="0.25">
      <c r="A95" s="23" t="s">
        <v>63</v>
      </c>
      <c r="B95" s="24">
        <f>B96</f>
        <v>15000000</v>
      </c>
      <c r="C95" s="25"/>
      <c r="D95" s="26"/>
      <c r="E95" s="24">
        <f>E96</f>
        <v>73000</v>
      </c>
      <c r="F95" s="24">
        <f>F96</f>
        <v>14927000</v>
      </c>
      <c r="G95" s="27">
        <f>AVERAGE(G96)</f>
        <v>100</v>
      </c>
      <c r="H95" s="22"/>
      <c r="I95" s="16"/>
    </row>
    <row r="96" spans="1:9" x14ac:dyDescent="0.25">
      <c r="A96" s="28" t="s">
        <v>14</v>
      </c>
      <c r="B96" s="29">
        <v>15000000</v>
      </c>
      <c r="C96" s="28" t="s">
        <v>15</v>
      </c>
      <c r="D96" s="29">
        <f>F96</f>
        <v>14927000</v>
      </c>
      <c r="E96" s="29">
        <f>B96-F96</f>
        <v>73000</v>
      </c>
      <c r="F96" s="29">
        <v>14927000</v>
      </c>
      <c r="G96" s="30">
        <v>100</v>
      </c>
      <c r="H96" s="22"/>
      <c r="I96" s="16"/>
    </row>
    <row r="97" spans="1:14" ht="24" x14ac:dyDescent="0.25">
      <c r="A97" s="23" t="s">
        <v>64</v>
      </c>
      <c r="B97" s="24">
        <f>B98</f>
        <v>10500000</v>
      </c>
      <c r="C97" s="25"/>
      <c r="D97" s="26"/>
      <c r="E97" s="24">
        <f>E98</f>
        <v>10500000</v>
      </c>
      <c r="F97" s="24">
        <f>F98</f>
        <v>0</v>
      </c>
      <c r="G97" s="27">
        <f>F97/B97*100</f>
        <v>0</v>
      </c>
      <c r="H97" s="22"/>
      <c r="I97" s="16"/>
    </row>
    <row r="98" spans="1:14" x14ac:dyDescent="0.25">
      <c r="A98" s="28" t="s">
        <v>14</v>
      </c>
      <c r="B98" s="29">
        <v>10500000</v>
      </c>
      <c r="C98" s="28" t="s">
        <v>15</v>
      </c>
      <c r="D98" s="29">
        <v>0</v>
      </c>
      <c r="E98" s="29">
        <f>B98-F98</f>
        <v>10500000</v>
      </c>
      <c r="F98" s="29">
        <v>0</v>
      </c>
      <c r="G98" s="30">
        <f>F98/B98*100</f>
        <v>0</v>
      </c>
      <c r="H98" s="22"/>
      <c r="I98" s="16"/>
    </row>
    <row r="99" spans="1:14" ht="24" x14ac:dyDescent="0.25">
      <c r="A99" s="17" t="s">
        <v>65</v>
      </c>
      <c r="B99" s="18">
        <f>SUM(B100,B105,B109,B113,B121,B124)</f>
        <v>2662090400</v>
      </c>
      <c r="C99" s="19"/>
      <c r="D99" s="20"/>
      <c r="E99" s="18">
        <f>SUM(E100,E105,E109,E113,E121,E124)</f>
        <v>119299101</v>
      </c>
      <c r="F99" s="18">
        <f>SUM(F100,F105,F109,F113,F121,F124)</f>
        <v>2542791299</v>
      </c>
      <c r="G99" s="21">
        <f>AVERAGE(G100,G105,G109,G113,G121,G124)</f>
        <v>100</v>
      </c>
      <c r="H99" s="22"/>
      <c r="I99" s="16"/>
    </row>
    <row r="100" spans="1:14" ht="24" x14ac:dyDescent="0.25">
      <c r="A100" s="23" t="s">
        <v>66</v>
      </c>
      <c r="B100" s="24">
        <f>SUM(B101:B104)</f>
        <v>1100000000</v>
      </c>
      <c r="C100" s="25"/>
      <c r="D100" s="26"/>
      <c r="E100" s="24">
        <f>SUM(E101:E104)</f>
        <v>68000000</v>
      </c>
      <c r="F100" s="24">
        <f>SUM(F101:F104)</f>
        <v>1032000000</v>
      </c>
      <c r="G100" s="27">
        <f>AVERAGE(G101:G103)</f>
        <v>100</v>
      </c>
      <c r="H100" s="22"/>
      <c r="I100" s="16"/>
    </row>
    <row r="101" spans="1:14" ht="24" x14ac:dyDescent="0.25">
      <c r="A101" s="28" t="s">
        <v>67</v>
      </c>
      <c r="B101" s="29">
        <v>500000000</v>
      </c>
      <c r="C101" s="28" t="s">
        <v>56</v>
      </c>
      <c r="D101" s="29">
        <v>437400000</v>
      </c>
      <c r="E101" s="29">
        <f>B101-F101</f>
        <v>62600000</v>
      </c>
      <c r="F101" s="29">
        <v>437400000</v>
      </c>
      <c r="G101" s="30">
        <v>100</v>
      </c>
      <c r="H101" s="22"/>
      <c r="I101" s="16"/>
    </row>
    <row r="102" spans="1:14" ht="24" x14ac:dyDescent="0.25">
      <c r="A102" s="28" t="s">
        <v>68</v>
      </c>
      <c r="B102" s="29">
        <v>280000000</v>
      </c>
      <c r="C102" s="28" t="s">
        <v>56</v>
      </c>
      <c r="D102" s="29">
        <v>279000000</v>
      </c>
      <c r="E102" s="29">
        <f>B102-F102</f>
        <v>1000000</v>
      </c>
      <c r="F102" s="29">
        <v>279000000</v>
      </c>
      <c r="G102" s="30">
        <v>100</v>
      </c>
      <c r="H102" s="22"/>
      <c r="I102" s="16"/>
    </row>
    <row r="103" spans="1:14" ht="24" x14ac:dyDescent="0.25">
      <c r="A103" s="28" t="s">
        <v>69</v>
      </c>
      <c r="B103" s="29">
        <v>310732000</v>
      </c>
      <c r="C103" s="28" t="s">
        <v>56</v>
      </c>
      <c r="D103" s="29">
        <v>310000000</v>
      </c>
      <c r="E103" s="29">
        <f>B103-F103</f>
        <v>732000</v>
      </c>
      <c r="F103" s="29">
        <v>310000000</v>
      </c>
      <c r="G103" s="30">
        <v>100</v>
      </c>
      <c r="H103" s="22"/>
      <c r="I103" s="16"/>
    </row>
    <row r="104" spans="1:14" x14ac:dyDescent="0.25">
      <c r="A104" s="28" t="s">
        <v>70</v>
      </c>
      <c r="B104" s="29">
        <v>9268000</v>
      </c>
      <c r="C104" s="28" t="s">
        <v>15</v>
      </c>
      <c r="D104" s="29">
        <f>F104</f>
        <v>5600000</v>
      </c>
      <c r="E104" s="29">
        <f>B104-F104</f>
        <v>3668000</v>
      </c>
      <c r="F104" s="29">
        <v>5600000</v>
      </c>
      <c r="G104" s="30">
        <f>F104/B104*100</f>
        <v>60.422960725075527</v>
      </c>
      <c r="H104" s="22"/>
      <c r="I104" s="16"/>
    </row>
    <row r="105" spans="1:14" x14ac:dyDescent="0.25">
      <c r="A105" s="23" t="s">
        <v>71</v>
      </c>
      <c r="B105" s="24">
        <f>SUM(B106:B108)</f>
        <v>433020600</v>
      </c>
      <c r="C105" s="25"/>
      <c r="D105" s="26"/>
      <c r="E105" s="24">
        <f>SUM(E106:E108)</f>
        <v>14855300</v>
      </c>
      <c r="F105" s="24">
        <f>SUM(F106:F108)</f>
        <v>418165300</v>
      </c>
      <c r="G105" s="27">
        <f>AVERAGE(G106:G107)</f>
        <v>100</v>
      </c>
      <c r="H105" s="16"/>
      <c r="I105" s="16"/>
    </row>
    <row r="106" spans="1:14" ht="24" x14ac:dyDescent="0.25">
      <c r="A106" s="28" t="s">
        <v>72</v>
      </c>
      <c r="B106" s="29">
        <v>99000000</v>
      </c>
      <c r="C106" s="28" t="s">
        <v>56</v>
      </c>
      <c r="D106" s="29">
        <v>99000000</v>
      </c>
      <c r="E106" s="29">
        <f>B106-F106</f>
        <v>0</v>
      </c>
      <c r="F106" s="29">
        <v>99000000</v>
      </c>
      <c r="G106" s="30">
        <v>100</v>
      </c>
      <c r="H106" s="22"/>
      <c r="I106" s="16"/>
    </row>
    <row r="107" spans="1:14" x14ac:dyDescent="0.25">
      <c r="A107" s="28" t="s">
        <v>73</v>
      </c>
      <c r="B107" s="29">
        <v>310732000</v>
      </c>
      <c r="C107" s="28" t="s">
        <v>56</v>
      </c>
      <c r="D107" s="29">
        <v>310000000</v>
      </c>
      <c r="E107" s="29">
        <f>B107-F107</f>
        <v>732000</v>
      </c>
      <c r="F107" s="29">
        <v>310000000</v>
      </c>
      <c r="G107" s="30">
        <v>100</v>
      </c>
      <c r="H107" s="22"/>
      <c r="I107" s="16"/>
    </row>
    <row r="108" spans="1:14" x14ac:dyDescent="0.25">
      <c r="A108" s="28" t="s">
        <v>58</v>
      </c>
      <c r="B108" s="29">
        <f>46398500-23109900</f>
        <v>23288600</v>
      </c>
      <c r="C108" s="28" t="s">
        <v>15</v>
      </c>
      <c r="D108" s="29">
        <f>F108</f>
        <v>9165300</v>
      </c>
      <c r="E108" s="29">
        <f>B108-F108</f>
        <v>14123300</v>
      </c>
      <c r="F108" s="29">
        <f>8490300+675000</f>
        <v>9165300</v>
      </c>
      <c r="G108" s="30">
        <f>F108/B108*100</f>
        <v>39.355306888348807</v>
      </c>
      <c r="H108" s="22"/>
      <c r="I108" s="16"/>
    </row>
    <row r="109" spans="1:14" s="32" customFormat="1" x14ac:dyDescent="0.25">
      <c r="A109" s="23" t="s">
        <v>74</v>
      </c>
      <c r="B109" s="24">
        <f>SUM(B110:B112)</f>
        <v>259309000</v>
      </c>
      <c r="C109" s="25"/>
      <c r="D109" s="26"/>
      <c r="E109" s="24">
        <f>SUM(E110:E112)</f>
        <v>7531100</v>
      </c>
      <c r="F109" s="24">
        <f>SUM(F110:F112)</f>
        <v>251777900</v>
      </c>
      <c r="G109" s="27">
        <f>AVERAGE(G111:G112)</f>
        <v>100</v>
      </c>
      <c r="H109" s="22"/>
      <c r="I109" s="16"/>
      <c r="J109" s="4"/>
      <c r="K109" s="4"/>
      <c r="L109" s="4"/>
      <c r="M109" s="4"/>
      <c r="N109" s="4"/>
    </row>
    <row r="110" spans="1:14" x14ac:dyDescent="0.25">
      <c r="A110" s="28" t="s">
        <v>14</v>
      </c>
      <c r="B110" s="29">
        <v>309000</v>
      </c>
      <c r="C110" s="28" t="s">
        <v>15</v>
      </c>
      <c r="D110" s="29">
        <f>F110</f>
        <v>0</v>
      </c>
      <c r="E110" s="29">
        <f>B110-F110</f>
        <v>309000</v>
      </c>
      <c r="F110" s="29">
        <v>0</v>
      </c>
      <c r="G110" s="30">
        <f>F110/B110*100</f>
        <v>0</v>
      </c>
      <c r="H110" s="22"/>
      <c r="I110" s="16"/>
    </row>
    <row r="111" spans="1:14" x14ac:dyDescent="0.25">
      <c r="A111" s="28" t="s">
        <v>75</v>
      </c>
      <c r="B111" s="29">
        <v>49000000</v>
      </c>
      <c r="C111" s="28" t="s">
        <v>56</v>
      </c>
      <c r="D111" s="29">
        <v>47882000</v>
      </c>
      <c r="E111" s="29">
        <f>B111-F111</f>
        <v>1118000</v>
      </c>
      <c r="F111" s="29">
        <v>47882000</v>
      </c>
      <c r="G111" s="30">
        <v>100</v>
      </c>
      <c r="H111" s="22"/>
      <c r="I111" s="16"/>
    </row>
    <row r="112" spans="1:14" x14ac:dyDescent="0.25">
      <c r="A112" s="28" t="s">
        <v>76</v>
      </c>
      <c r="B112" s="29">
        <v>210000000</v>
      </c>
      <c r="C112" s="28" t="s">
        <v>56</v>
      </c>
      <c r="D112" s="29">
        <v>203895900</v>
      </c>
      <c r="E112" s="29">
        <f>B112-F112</f>
        <v>6104100</v>
      </c>
      <c r="F112" s="29">
        <v>203895900</v>
      </c>
      <c r="G112" s="30">
        <v>100</v>
      </c>
      <c r="H112" s="22"/>
      <c r="I112" s="16"/>
      <c r="J112" s="32"/>
      <c r="K112" s="32"/>
      <c r="L112" s="32"/>
      <c r="M112" s="32"/>
      <c r="N112" s="32"/>
    </row>
    <row r="113" spans="1:9" x14ac:dyDescent="0.25">
      <c r="A113" s="23" t="s">
        <v>77</v>
      </c>
      <c r="B113" s="24">
        <f>SUM(B114:B120)</f>
        <v>686179800</v>
      </c>
      <c r="C113" s="25"/>
      <c r="D113" s="26"/>
      <c r="E113" s="24">
        <f>SUM(E114:E120)</f>
        <v>25551701</v>
      </c>
      <c r="F113" s="24">
        <f>SUM(F114:F120)</f>
        <v>660628099</v>
      </c>
      <c r="G113" s="27">
        <f>AVERAGE(G114:G119)</f>
        <v>100</v>
      </c>
      <c r="H113" s="16"/>
      <c r="I113" s="16"/>
    </row>
    <row r="114" spans="1:9" x14ac:dyDescent="0.25">
      <c r="A114" s="28" t="s">
        <v>78</v>
      </c>
      <c r="B114" s="29">
        <f>225000000+72850000+99834000</f>
        <v>397684000</v>
      </c>
      <c r="C114" s="28" t="s">
        <v>56</v>
      </c>
      <c r="D114" s="29">
        <v>389510100</v>
      </c>
      <c r="E114" s="29">
        <f>B114-F114</f>
        <v>8173900</v>
      </c>
      <c r="F114" s="29">
        <v>389510100</v>
      </c>
      <c r="G114" s="30">
        <v>100</v>
      </c>
      <c r="H114" s="22"/>
      <c r="I114" s="16"/>
    </row>
    <row r="115" spans="1:9" x14ac:dyDescent="0.25">
      <c r="A115" s="28" t="s">
        <v>79</v>
      </c>
      <c r="B115" s="29">
        <v>36050000</v>
      </c>
      <c r="C115" s="28" t="s">
        <v>56</v>
      </c>
      <c r="D115" s="29">
        <v>32856000</v>
      </c>
      <c r="E115" s="29">
        <f>B115-F115</f>
        <v>3194000</v>
      </c>
      <c r="F115" s="29">
        <v>32856000</v>
      </c>
      <c r="G115" s="30">
        <v>100</v>
      </c>
      <c r="H115" s="22"/>
      <c r="I115" s="16"/>
    </row>
    <row r="116" spans="1:9" x14ac:dyDescent="0.25">
      <c r="A116" s="28" t="s">
        <v>80</v>
      </c>
      <c r="B116" s="29">
        <v>43200000</v>
      </c>
      <c r="C116" s="28" t="s">
        <v>56</v>
      </c>
      <c r="D116" s="29">
        <v>40293000</v>
      </c>
      <c r="E116" s="29">
        <f>B116-F116</f>
        <v>2907000</v>
      </c>
      <c r="F116" s="29">
        <v>40293000</v>
      </c>
      <c r="G116" s="30">
        <v>100</v>
      </c>
      <c r="H116" s="22"/>
      <c r="I116" s="16"/>
    </row>
    <row r="117" spans="1:9" ht="24" x14ac:dyDescent="0.25">
      <c r="A117" s="28" t="s">
        <v>81</v>
      </c>
      <c r="B117" s="29">
        <v>54375000</v>
      </c>
      <c r="C117" s="28" t="s">
        <v>56</v>
      </c>
      <c r="D117" s="29">
        <v>53313999</v>
      </c>
      <c r="E117" s="29">
        <f>B117-F117</f>
        <v>1061001</v>
      </c>
      <c r="F117" s="29">
        <v>53313999</v>
      </c>
      <c r="G117" s="30">
        <v>100</v>
      </c>
      <c r="H117" s="22"/>
      <c r="I117" s="16"/>
    </row>
    <row r="118" spans="1:9" x14ac:dyDescent="0.25">
      <c r="A118" s="28" t="s">
        <v>82</v>
      </c>
      <c r="B118" s="29">
        <v>68820000</v>
      </c>
      <c r="C118" s="28" t="s">
        <v>56</v>
      </c>
      <c r="D118" s="29">
        <v>63270000</v>
      </c>
      <c r="E118" s="29">
        <f>B118-F118</f>
        <v>5550000</v>
      </c>
      <c r="F118" s="29">
        <v>63270000</v>
      </c>
      <c r="G118" s="30">
        <v>100</v>
      </c>
      <c r="H118" s="22"/>
      <c r="I118" s="16"/>
    </row>
    <row r="119" spans="1:9" x14ac:dyDescent="0.25">
      <c r="A119" s="28" t="s">
        <v>83</v>
      </c>
      <c r="B119" s="29">
        <v>9500000</v>
      </c>
      <c r="C119" s="28" t="s">
        <v>56</v>
      </c>
      <c r="D119" s="29">
        <v>9102000</v>
      </c>
      <c r="E119" s="29">
        <f>B119-F119</f>
        <v>398000</v>
      </c>
      <c r="F119" s="29">
        <v>9102000</v>
      </c>
      <c r="G119" s="30">
        <v>100</v>
      </c>
      <c r="H119" s="22"/>
      <c r="I119" s="16"/>
    </row>
    <row r="120" spans="1:9" x14ac:dyDescent="0.25">
      <c r="A120" s="28" t="s">
        <v>84</v>
      </c>
      <c r="B120" s="29">
        <f>10016000+31017800+35517000</f>
        <v>76550800</v>
      </c>
      <c r="C120" s="28" t="s">
        <v>15</v>
      </c>
      <c r="D120" s="29">
        <f>F120</f>
        <v>72283000</v>
      </c>
      <c r="E120" s="29">
        <f>B120-F120</f>
        <v>4267800</v>
      </c>
      <c r="F120" s="29">
        <f>1100000+2766000+65117000+3300000</f>
        <v>72283000</v>
      </c>
      <c r="G120" s="30">
        <f>F120/B120*100</f>
        <v>94.424878642679104</v>
      </c>
      <c r="H120" s="22"/>
      <c r="I120" s="16"/>
    </row>
    <row r="121" spans="1:9" ht="24" x14ac:dyDescent="0.25">
      <c r="A121" s="23" t="s">
        <v>85</v>
      </c>
      <c r="B121" s="24">
        <f>SUM(B122:B123)</f>
        <v>135077000</v>
      </c>
      <c r="C121" s="25"/>
      <c r="D121" s="26"/>
      <c r="E121" s="24">
        <f>SUM(E122:E123)</f>
        <v>1732000</v>
      </c>
      <c r="F121" s="24">
        <f>SUM(F122:F123)</f>
        <v>133345000</v>
      </c>
      <c r="G121" s="27">
        <f>AVERAGE(G122)</f>
        <v>100</v>
      </c>
      <c r="H121" s="22"/>
      <c r="I121" s="16"/>
    </row>
    <row r="122" spans="1:9" x14ac:dyDescent="0.25">
      <c r="A122" s="28" t="s">
        <v>86</v>
      </c>
      <c r="B122" s="29">
        <v>101000000</v>
      </c>
      <c r="C122" s="28" t="s">
        <v>56</v>
      </c>
      <c r="D122" s="29">
        <v>100000000</v>
      </c>
      <c r="E122" s="29">
        <f>B122-F122</f>
        <v>1000000</v>
      </c>
      <c r="F122" s="29">
        <v>100000000</v>
      </c>
      <c r="G122" s="30">
        <v>100</v>
      </c>
      <c r="H122" s="22"/>
      <c r="I122" s="16"/>
    </row>
    <row r="123" spans="1:9" x14ac:dyDescent="0.25">
      <c r="A123" s="28" t="s">
        <v>58</v>
      </c>
      <c r="B123" s="29">
        <f>4650000+730750+28696250</f>
        <v>34077000</v>
      </c>
      <c r="C123" s="28" t="s">
        <v>15</v>
      </c>
      <c r="D123" s="29">
        <f>F123</f>
        <v>33345000</v>
      </c>
      <c r="E123" s="29">
        <f>B123-F123</f>
        <v>732000</v>
      </c>
      <c r="F123" s="29">
        <f>18495000+14850000</f>
        <v>33345000</v>
      </c>
      <c r="G123" s="30">
        <f>F123/B123*100</f>
        <v>97.851923584822615</v>
      </c>
      <c r="H123" s="22"/>
      <c r="I123" s="16"/>
    </row>
    <row r="124" spans="1:9" ht="24" x14ac:dyDescent="0.25">
      <c r="A124" s="23" t="s">
        <v>87</v>
      </c>
      <c r="B124" s="24">
        <f>SUM(B125:B125)</f>
        <v>48504000</v>
      </c>
      <c r="C124" s="25"/>
      <c r="D124" s="26"/>
      <c r="E124" s="24">
        <f>SUM(E125:E125)</f>
        <v>1629000</v>
      </c>
      <c r="F124" s="24">
        <f>SUM(F125:F125)</f>
        <v>46875000</v>
      </c>
      <c r="G124" s="27">
        <f>AVERAGE(G125)</f>
        <v>100</v>
      </c>
      <c r="H124" s="22"/>
      <c r="I124" s="16"/>
    </row>
    <row r="125" spans="1:9" x14ac:dyDescent="0.25">
      <c r="A125" s="28" t="s">
        <v>14</v>
      </c>
      <c r="B125" s="29">
        <f>13875000+34629000</f>
        <v>48504000</v>
      </c>
      <c r="C125" s="28" t="s">
        <v>15</v>
      </c>
      <c r="D125" s="29">
        <f>F125</f>
        <v>46875000</v>
      </c>
      <c r="E125" s="29">
        <f>B125-F125</f>
        <v>1629000</v>
      </c>
      <c r="F125" s="29">
        <f>12475000+34400000</f>
        <v>46875000</v>
      </c>
      <c r="G125" s="30">
        <v>100</v>
      </c>
      <c r="H125" s="22"/>
      <c r="I125" s="16"/>
    </row>
    <row r="126" spans="1:9" ht="25.5" customHeight="1" x14ac:dyDescent="0.25">
      <c r="A126" s="17" t="s">
        <v>88</v>
      </c>
      <c r="B126" s="18">
        <f>SUM(B127,B129,B131)</f>
        <v>3190474500</v>
      </c>
      <c r="C126" s="19"/>
      <c r="D126" s="20"/>
      <c r="E126" s="18">
        <f>SUM(E127,E129,E131)</f>
        <v>243532619</v>
      </c>
      <c r="F126" s="18">
        <f>SUM(F127,F129,F131)</f>
        <v>2946941881</v>
      </c>
      <c r="G126" s="21">
        <f>AVERAGE(G127,G129,G131)</f>
        <v>100</v>
      </c>
      <c r="H126" s="22"/>
      <c r="I126" s="16"/>
    </row>
    <row r="127" spans="1:9" x14ac:dyDescent="0.25">
      <c r="A127" s="23" t="s">
        <v>89</v>
      </c>
      <c r="B127" s="24">
        <f>B128</f>
        <v>7000000</v>
      </c>
      <c r="C127" s="25"/>
      <c r="D127" s="26"/>
      <c r="E127" s="24">
        <f>E128</f>
        <v>37900</v>
      </c>
      <c r="F127" s="24">
        <f>F128</f>
        <v>6962100</v>
      </c>
      <c r="G127" s="27">
        <f>AVERAGE(G128)</f>
        <v>100</v>
      </c>
      <c r="H127" s="22"/>
      <c r="I127" s="16"/>
    </row>
    <row r="128" spans="1:9" x14ac:dyDescent="0.25">
      <c r="A128" s="28" t="s">
        <v>14</v>
      </c>
      <c r="B128" s="29">
        <v>7000000</v>
      </c>
      <c r="C128" s="28" t="s">
        <v>15</v>
      </c>
      <c r="D128" s="29">
        <f>F128</f>
        <v>6962100</v>
      </c>
      <c r="E128" s="29">
        <f>B128-F128</f>
        <v>37900</v>
      </c>
      <c r="F128" s="29">
        <v>6962100</v>
      </c>
      <c r="G128" s="30">
        <v>100</v>
      </c>
      <c r="H128" s="22"/>
      <c r="I128" s="16"/>
    </row>
    <row r="129" spans="1:9" x14ac:dyDescent="0.25">
      <c r="A129" s="23" t="s">
        <v>90</v>
      </c>
      <c r="B129" s="24">
        <f>B130</f>
        <v>400000000</v>
      </c>
      <c r="C129" s="25"/>
      <c r="D129" s="26"/>
      <c r="E129" s="24">
        <f>SUM(E130)</f>
        <v>81106762</v>
      </c>
      <c r="F129" s="24">
        <f>F130</f>
        <v>318893238</v>
      </c>
      <c r="G129" s="27">
        <f>G130</f>
        <v>100</v>
      </c>
      <c r="H129" s="22"/>
      <c r="I129" s="16"/>
    </row>
    <row r="130" spans="1:9" x14ac:dyDescent="0.25">
      <c r="A130" s="28" t="s">
        <v>14</v>
      </c>
      <c r="B130" s="29">
        <v>400000000</v>
      </c>
      <c r="C130" s="28" t="s">
        <v>15</v>
      </c>
      <c r="D130" s="29">
        <f>F130</f>
        <v>318893238</v>
      </c>
      <c r="E130" s="29">
        <f>B130-F130</f>
        <v>81106762</v>
      </c>
      <c r="F130" s="29">
        <v>318893238</v>
      </c>
      <c r="G130" s="30">
        <v>100</v>
      </c>
      <c r="H130" s="22"/>
      <c r="I130" s="16"/>
    </row>
    <row r="131" spans="1:9" x14ac:dyDescent="0.25">
      <c r="A131" s="23" t="s">
        <v>91</v>
      </c>
      <c r="B131" s="24">
        <f>SUM(B132:B133)</f>
        <v>2783474500</v>
      </c>
      <c r="C131" s="25"/>
      <c r="D131" s="26"/>
      <c r="E131" s="24">
        <f>SUM(E132:E133)</f>
        <v>162387957</v>
      </c>
      <c r="F131" s="24">
        <f>SUM(F132:F133)</f>
        <v>2621086543</v>
      </c>
      <c r="G131" s="27">
        <v>100</v>
      </c>
      <c r="H131" s="16"/>
      <c r="I131" s="16"/>
    </row>
    <row r="132" spans="1:9" x14ac:dyDescent="0.25">
      <c r="A132" s="28" t="s">
        <v>92</v>
      </c>
      <c r="B132" s="29">
        <v>2063600000</v>
      </c>
      <c r="C132" s="28" t="s">
        <v>93</v>
      </c>
      <c r="D132" s="29">
        <f>F132</f>
        <v>1946715000</v>
      </c>
      <c r="E132" s="29">
        <f>B132-F132</f>
        <v>116885000</v>
      </c>
      <c r="F132" s="29">
        <f>1797115000+149600000</f>
        <v>1946715000</v>
      </c>
      <c r="G132" s="30">
        <f>F132/B132*100</f>
        <v>94.335869354526068</v>
      </c>
      <c r="H132" s="16"/>
      <c r="I132" s="16"/>
    </row>
    <row r="133" spans="1:9" x14ac:dyDescent="0.25">
      <c r="A133" s="28" t="s">
        <v>94</v>
      </c>
      <c r="B133" s="29">
        <f>898400000-176125500-2400000</f>
        <v>719874500</v>
      </c>
      <c r="C133" s="28" t="s">
        <v>15</v>
      </c>
      <c r="D133" s="29">
        <f>F133</f>
        <v>674371543</v>
      </c>
      <c r="E133" s="29">
        <f>B133-F133</f>
        <v>45502957</v>
      </c>
      <c r="F133" s="29">
        <f>366402619+72553464+69152240+1907000+37102440+41185900+46793440+24269440+15005000</f>
        <v>674371543</v>
      </c>
      <c r="G133" s="30">
        <f>F133/B133*100</f>
        <v>93.679043083204078</v>
      </c>
      <c r="H133" s="22"/>
      <c r="I133" s="16"/>
    </row>
    <row r="134" spans="1:9" ht="24" x14ac:dyDescent="0.25">
      <c r="A134" s="17" t="s">
        <v>95</v>
      </c>
      <c r="B134" s="18">
        <f>SUM(B135,B137,B139,B141,B143,B145,B147,B156,B158)</f>
        <v>3760402550</v>
      </c>
      <c r="C134" s="19"/>
      <c r="D134" s="20"/>
      <c r="E134" s="18">
        <f>SUM(E135,E137,E139,E141,E143,E145,E147,E156,E158)</f>
        <v>433157448</v>
      </c>
      <c r="F134" s="18">
        <f>SUM(F135,F137,F139,F141,F143,F145,F147,F156,F158)</f>
        <v>3327245102</v>
      </c>
      <c r="G134" s="21">
        <f>AVERAGE(G135,G137,G139,G141,G143,G145,G147,G156,G158)</f>
        <v>100</v>
      </c>
      <c r="H134" s="22"/>
      <c r="I134" s="16"/>
    </row>
    <row r="135" spans="1:9" ht="36" x14ac:dyDescent="0.25">
      <c r="A135" s="23" t="s">
        <v>96</v>
      </c>
      <c r="B135" s="24">
        <f>B136</f>
        <v>713402550</v>
      </c>
      <c r="C135" s="25"/>
      <c r="D135" s="26"/>
      <c r="E135" s="24">
        <f>E136</f>
        <v>191980220</v>
      </c>
      <c r="F135" s="24">
        <f>F136</f>
        <v>521422330</v>
      </c>
      <c r="G135" s="27">
        <f>G136</f>
        <v>100</v>
      </c>
      <c r="H135" s="22"/>
      <c r="I135" s="16"/>
    </row>
    <row r="136" spans="1:9" x14ac:dyDescent="0.25">
      <c r="A136" s="28" t="s">
        <v>14</v>
      </c>
      <c r="B136" s="29">
        <v>713402550</v>
      </c>
      <c r="C136" s="28" t="s">
        <v>15</v>
      </c>
      <c r="D136" s="29">
        <f>F136</f>
        <v>521422330</v>
      </c>
      <c r="E136" s="29">
        <f>B136-F136</f>
        <v>191980220</v>
      </c>
      <c r="F136" s="29">
        <v>521422330</v>
      </c>
      <c r="G136" s="30">
        <v>100</v>
      </c>
      <c r="H136" s="22"/>
      <c r="I136" s="16"/>
    </row>
    <row r="137" spans="1:9" ht="24" x14ac:dyDescent="0.25">
      <c r="A137" s="23" t="s">
        <v>97</v>
      </c>
      <c r="B137" s="24">
        <f>B138</f>
        <v>350000000</v>
      </c>
      <c r="C137" s="25"/>
      <c r="D137" s="26"/>
      <c r="E137" s="24">
        <f>SUM(E138)</f>
        <v>164403500</v>
      </c>
      <c r="F137" s="24">
        <f>F138</f>
        <v>185596500</v>
      </c>
      <c r="G137" s="27">
        <f>G138</f>
        <v>100</v>
      </c>
      <c r="H137" s="22"/>
      <c r="I137" s="16"/>
    </row>
    <row r="138" spans="1:9" x14ac:dyDescent="0.25">
      <c r="A138" s="28" t="s">
        <v>14</v>
      </c>
      <c r="B138" s="29">
        <v>350000000</v>
      </c>
      <c r="C138" s="28" t="s">
        <v>15</v>
      </c>
      <c r="D138" s="29">
        <f>F138</f>
        <v>185596500</v>
      </c>
      <c r="E138" s="29">
        <f>B138-F138</f>
        <v>164403500</v>
      </c>
      <c r="F138" s="29">
        <v>185596500</v>
      </c>
      <c r="G138" s="30">
        <v>100</v>
      </c>
      <c r="H138" s="22"/>
      <c r="I138" s="16"/>
    </row>
    <row r="139" spans="1:9" ht="24" x14ac:dyDescent="0.25">
      <c r="A139" s="23" t="s">
        <v>98</v>
      </c>
      <c r="B139" s="24">
        <f>B140</f>
        <v>700000000</v>
      </c>
      <c r="C139" s="25"/>
      <c r="D139" s="26"/>
      <c r="E139" s="24">
        <f>SUM(E140)</f>
        <v>54721786</v>
      </c>
      <c r="F139" s="24">
        <f>F140</f>
        <v>645278214</v>
      </c>
      <c r="G139" s="27">
        <f>G140</f>
        <v>100</v>
      </c>
      <c r="H139" s="22"/>
      <c r="I139" s="16"/>
    </row>
    <row r="140" spans="1:9" x14ac:dyDescent="0.25">
      <c r="A140" s="28" t="s">
        <v>14</v>
      </c>
      <c r="B140" s="29">
        <v>700000000</v>
      </c>
      <c r="C140" s="28" t="s">
        <v>15</v>
      </c>
      <c r="D140" s="29">
        <f>F140</f>
        <v>645278214</v>
      </c>
      <c r="E140" s="29">
        <f>B140-F140</f>
        <v>54721786</v>
      </c>
      <c r="F140" s="29">
        <v>645278214</v>
      </c>
      <c r="G140" s="30">
        <v>100</v>
      </c>
      <c r="H140" s="22"/>
      <c r="I140" s="16"/>
    </row>
    <row r="141" spans="1:9" x14ac:dyDescent="0.25">
      <c r="A141" s="23" t="s">
        <v>99</v>
      </c>
      <c r="B141" s="24">
        <f>B142</f>
        <v>25000000</v>
      </c>
      <c r="C141" s="25"/>
      <c r="D141" s="26"/>
      <c r="E141" s="24">
        <f>SUM(E142)</f>
        <v>260000</v>
      </c>
      <c r="F141" s="24">
        <f>F142</f>
        <v>24740000</v>
      </c>
      <c r="G141" s="27">
        <f>AVERAGE(G142)</f>
        <v>100</v>
      </c>
      <c r="H141" s="22"/>
      <c r="I141" s="16"/>
    </row>
    <row r="142" spans="1:9" x14ac:dyDescent="0.25">
      <c r="A142" s="28" t="s">
        <v>14</v>
      </c>
      <c r="B142" s="29">
        <v>25000000</v>
      </c>
      <c r="C142" s="28" t="s">
        <v>15</v>
      </c>
      <c r="D142" s="29">
        <f>F142</f>
        <v>24740000</v>
      </c>
      <c r="E142" s="29">
        <f>B142-F142</f>
        <v>260000</v>
      </c>
      <c r="F142" s="29">
        <v>24740000</v>
      </c>
      <c r="G142" s="30">
        <v>100</v>
      </c>
      <c r="H142" s="22"/>
      <c r="I142" s="16"/>
    </row>
    <row r="143" spans="1:9" x14ac:dyDescent="0.25">
      <c r="A143" s="23" t="s">
        <v>100</v>
      </c>
      <c r="B143" s="24">
        <f>B144</f>
        <v>50000000</v>
      </c>
      <c r="C143" s="25"/>
      <c r="D143" s="26"/>
      <c r="E143" s="24">
        <f>SUM(E144)</f>
        <v>1084500</v>
      </c>
      <c r="F143" s="24">
        <f>F144</f>
        <v>48915500</v>
      </c>
      <c r="G143" s="27">
        <f>G144</f>
        <v>100</v>
      </c>
      <c r="H143" s="22"/>
      <c r="I143" s="16"/>
    </row>
    <row r="144" spans="1:9" x14ac:dyDescent="0.25">
      <c r="A144" s="28" t="s">
        <v>14</v>
      </c>
      <c r="B144" s="29">
        <v>50000000</v>
      </c>
      <c r="C144" s="28" t="s">
        <v>15</v>
      </c>
      <c r="D144" s="29">
        <f>F144</f>
        <v>48915500</v>
      </c>
      <c r="E144" s="29">
        <f>B144-F144</f>
        <v>1084500</v>
      </c>
      <c r="F144" s="29">
        <v>48915500</v>
      </c>
      <c r="G144" s="30">
        <v>100</v>
      </c>
      <c r="H144" s="22"/>
      <c r="I144" s="16"/>
    </row>
    <row r="145" spans="1:9" x14ac:dyDescent="0.25">
      <c r="A145" s="23" t="s">
        <v>101</v>
      </c>
      <c r="B145" s="24">
        <f>B146</f>
        <v>25000000</v>
      </c>
      <c r="C145" s="25"/>
      <c r="D145" s="26"/>
      <c r="E145" s="24">
        <f>SUM(E146)</f>
        <v>5002000</v>
      </c>
      <c r="F145" s="24">
        <f>F146</f>
        <v>19998000</v>
      </c>
      <c r="G145" s="27">
        <f>G146</f>
        <v>100</v>
      </c>
      <c r="H145" s="22"/>
      <c r="I145" s="16"/>
    </row>
    <row r="146" spans="1:9" x14ac:dyDescent="0.25">
      <c r="A146" s="28" t="s">
        <v>14</v>
      </c>
      <c r="B146" s="29">
        <v>25000000</v>
      </c>
      <c r="C146" s="28" t="s">
        <v>15</v>
      </c>
      <c r="D146" s="29">
        <f>F146</f>
        <v>19998000</v>
      </c>
      <c r="E146" s="29">
        <f>B146-F146</f>
        <v>5002000</v>
      </c>
      <c r="F146" s="29">
        <v>19998000</v>
      </c>
      <c r="G146" s="30">
        <v>100</v>
      </c>
      <c r="H146" s="22"/>
      <c r="I146" s="16"/>
    </row>
    <row r="147" spans="1:9" ht="24" x14ac:dyDescent="0.25">
      <c r="A147" s="23" t="s">
        <v>102</v>
      </c>
      <c r="B147" s="24">
        <f>SUM(B148:B155)</f>
        <v>1397000000</v>
      </c>
      <c r="C147" s="25"/>
      <c r="D147" s="26"/>
      <c r="E147" s="24">
        <f>SUM(E148:E155)</f>
        <v>4821700</v>
      </c>
      <c r="F147" s="24">
        <f>SUM(F148:F155)</f>
        <v>1392178300</v>
      </c>
      <c r="G147" s="27">
        <f>AVERAGE(G148:G154)</f>
        <v>100</v>
      </c>
      <c r="H147" s="16"/>
      <c r="I147" s="16"/>
    </row>
    <row r="148" spans="1:9" ht="24" x14ac:dyDescent="0.25">
      <c r="A148" s="28" t="s">
        <v>103</v>
      </c>
      <c r="B148" s="29">
        <v>197000000</v>
      </c>
      <c r="C148" s="28" t="s">
        <v>104</v>
      </c>
      <c r="D148" s="29">
        <v>194109000</v>
      </c>
      <c r="E148" s="29">
        <f>B148-F148</f>
        <v>688816</v>
      </c>
      <c r="F148" s="29">
        <f>197000000-688816</f>
        <v>196311184</v>
      </c>
      <c r="G148" s="30">
        <v>100</v>
      </c>
      <c r="H148" s="16"/>
      <c r="I148" s="16"/>
    </row>
    <row r="149" spans="1:9" ht="24" x14ac:dyDescent="0.25">
      <c r="A149" s="28" t="s">
        <v>105</v>
      </c>
      <c r="B149" s="29">
        <v>173000000</v>
      </c>
      <c r="C149" s="28" t="s">
        <v>104</v>
      </c>
      <c r="D149" s="29">
        <v>170850000</v>
      </c>
      <c r="E149" s="29">
        <f>B149-F149</f>
        <v>688814</v>
      </c>
      <c r="F149" s="29">
        <f>173000000-688814</f>
        <v>172311186</v>
      </c>
      <c r="G149" s="30">
        <v>100</v>
      </c>
      <c r="H149" s="22"/>
      <c r="I149" s="16"/>
    </row>
    <row r="150" spans="1:9" ht="24" x14ac:dyDescent="0.25">
      <c r="A150" s="28" t="s">
        <v>106</v>
      </c>
      <c r="B150" s="29">
        <v>120000000</v>
      </c>
      <c r="C150" s="28" t="s">
        <v>104</v>
      </c>
      <c r="D150" s="29">
        <v>118577000</v>
      </c>
      <c r="E150" s="29">
        <f>B150-F150</f>
        <v>688814</v>
      </c>
      <c r="F150" s="29">
        <f>120000000-688814</f>
        <v>119311186</v>
      </c>
      <c r="G150" s="30">
        <v>100</v>
      </c>
      <c r="H150" s="22"/>
      <c r="I150" s="16"/>
    </row>
    <row r="151" spans="1:9" ht="24" x14ac:dyDescent="0.25">
      <c r="A151" s="28" t="s">
        <v>107</v>
      </c>
      <c r="B151" s="29">
        <v>194000000</v>
      </c>
      <c r="C151" s="28" t="s">
        <v>104</v>
      </c>
      <c r="D151" s="29">
        <v>191832000</v>
      </c>
      <c r="E151" s="29">
        <f>B151-F151</f>
        <v>688814</v>
      </c>
      <c r="F151" s="29">
        <f>194000000-688814</f>
        <v>193311186</v>
      </c>
      <c r="G151" s="30">
        <v>100</v>
      </c>
      <c r="H151" s="22"/>
      <c r="I151" s="16"/>
    </row>
    <row r="152" spans="1:9" ht="24" x14ac:dyDescent="0.25">
      <c r="A152" s="28" t="s">
        <v>108</v>
      </c>
      <c r="B152" s="29">
        <v>170000000</v>
      </c>
      <c r="C152" s="28" t="s">
        <v>104</v>
      </c>
      <c r="D152" s="29">
        <v>168013000</v>
      </c>
      <c r="E152" s="29">
        <f>B152-F152</f>
        <v>688814</v>
      </c>
      <c r="F152" s="29">
        <f>170000000-688814</f>
        <v>169311186</v>
      </c>
      <c r="G152" s="30">
        <v>100</v>
      </c>
      <c r="H152" s="22"/>
      <c r="I152" s="16"/>
    </row>
    <row r="153" spans="1:9" ht="24" x14ac:dyDescent="0.25">
      <c r="A153" s="28" t="s">
        <v>109</v>
      </c>
      <c r="B153" s="29">
        <v>197000000</v>
      </c>
      <c r="C153" s="28" t="s">
        <v>104</v>
      </c>
      <c r="D153" s="29">
        <v>194110000</v>
      </c>
      <c r="E153" s="29">
        <f>B153-F153</f>
        <v>688814</v>
      </c>
      <c r="F153" s="29">
        <f>197000000-688814</f>
        <v>196311186</v>
      </c>
      <c r="G153" s="30">
        <v>100</v>
      </c>
      <c r="H153" s="22"/>
      <c r="I153" s="16"/>
    </row>
    <row r="154" spans="1:9" ht="24" x14ac:dyDescent="0.25">
      <c r="A154" s="28" t="s">
        <v>110</v>
      </c>
      <c r="B154" s="29">
        <v>35000000</v>
      </c>
      <c r="C154" s="28" t="s">
        <v>111</v>
      </c>
      <c r="D154" s="29">
        <v>30591600</v>
      </c>
      <c r="E154" s="29">
        <f>B154-F154</f>
        <v>688814</v>
      </c>
      <c r="F154" s="29">
        <f>35000000-688814</f>
        <v>34311186</v>
      </c>
      <c r="G154" s="30">
        <v>100</v>
      </c>
      <c r="H154" s="22"/>
      <c r="I154" s="16"/>
    </row>
    <row r="155" spans="1:9" x14ac:dyDescent="0.25">
      <c r="A155" s="28" t="s">
        <v>112</v>
      </c>
      <c r="B155" s="29">
        <f>9287130+9754000+25398000+28000000+238560870</f>
        <v>311000000</v>
      </c>
      <c r="C155" s="28" t="s">
        <v>15</v>
      </c>
      <c r="D155" s="29">
        <v>311000000</v>
      </c>
      <c r="E155" s="29">
        <f>B155-F155</f>
        <v>0</v>
      </c>
      <c r="F155" s="29">
        <v>311000000</v>
      </c>
      <c r="G155" s="30">
        <f>F155/B155*100</f>
        <v>100</v>
      </c>
      <c r="H155" s="22"/>
      <c r="I155" s="16"/>
    </row>
    <row r="156" spans="1:9" ht="24" x14ac:dyDescent="0.25">
      <c r="A156" s="23" t="s">
        <v>113</v>
      </c>
      <c r="B156" s="24">
        <f>SUM(B157)</f>
        <v>150000000</v>
      </c>
      <c r="C156" s="25"/>
      <c r="D156" s="26"/>
      <c r="E156" s="24">
        <f>SUM(E157)</f>
        <v>2764600</v>
      </c>
      <c r="F156" s="24">
        <f>SUM(F157)</f>
        <v>147235400</v>
      </c>
      <c r="G156" s="27">
        <f>G157</f>
        <v>100</v>
      </c>
      <c r="H156" s="22"/>
      <c r="I156" s="16"/>
    </row>
    <row r="157" spans="1:9" x14ac:dyDescent="0.25">
      <c r="A157" s="28" t="s">
        <v>14</v>
      </c>
      <c r="B157" s="29">
        <v>150000000</v>
      </c>
      <c r="C157" s="28" t="s">
        <v>15</v>
      </c>
      <c r="D157" s="29">
        <v>0</v>
      </c>
      <c r="E157" s="29">
        <f>B157-F157</f>
        <v>2764600</v>
      </c>
      <c r="F157" s="29">
        <v>147235400</v>
      </c>
      <c r="G157" s="30">
        <v>100</v>
      </c>
      <c r="H157" s="22"/>
      <c r="I157" s="16"/>
    </row>
    <row r="158" spans="1:9" ht="24" x14ac:dyDescent="0.25">
      <c r="A158" s="23" t="s">
        <v>114</v>
      </c>
      <c r="B158" s="24">
        <f>SUM(B159:B166)</f>
        <v>350000000</v>
      </c>
      <c r="C158" s="25"/>
      <c r="D158" s="26"/>
      <c r="E158" s="24">
        <f>SUM(E159:E166)</f>
        <v>8119142</v>
      </c>
      <c r="F158" s="24">
        <f>SUM(F159:F166)</f>
        <v>341880858</v>
      </c>
      <c r="G158" s="27">
        <f>AVERAGE(G159:G164,G166)</f>
        <v>100</v>
      </c>
      <c r="H158" s="22"/>
      <c r="I158" s="16"/>
    </row>
    <row r="159" spans="1:9" ht="24" x14ac:dyDescent="0.25">
      <c r="A159" s="28" t="s">
        <v>115</v>
      </c>
      <c r="B159" s="29">
        <v>135000000</v>
      </c>
      <c r="C159" s="28" t="s">
        <v>104</v>
      </c>
      <c r="D159" s="29">
        <v>131979000</v>
      </c>
      <c r="E159" s="29">
        <f>B159-F159</f>
        <v>3021000</v>
      </c>
      <c r="F159" s="29">
        <v>131979000</v>
      </c>
      <c r="G159" s="30">
        <v>100</v>
      </c>
      <c r="H159" s="22"/>
      <c r="I159" s="16"/>
    </row>
    <row r="160" spans="1:9" ht="24" x14ac:dyDescent="0.25">
      <c r="A160" s="28" t="s">
        <v>116</v>
      </c>
      <c r="B160" s="29">
        <v>30000000</v>
      </c>
      <c r="C160" s="28" t="s">
        <v>104</v>
      </c>
      <c r="D160" s="29">
        <v>29337108</v>
      </c>
      <c r="E160" s="29">
        <f>B160-F160</f>
        <v>662892</v>
      </c>
      <c r="F160" s="29">
        <v>29337108</v>
      </c>
      <c r="G160" s="30">
        <v>100</v>
      </c>
      <c r="H160" s="22"/>
      <c r="I160" s="16"/>
    </row>
    <row r="161" spans="1:9" ht="24" x14ac:dyDescent="0.25">
      <c r="A161" s="28" t="s">
        <v>117</v>
      </c>
      <c r="B161" s="29">
        <v>79888000</v>
      </c>
      <c r="C161" s="28" t="s">
        <v>104</v>
      </c>
      <c r="D161" s="29">
        <v>79183000</v>
      </c>
      <c r="E161" s="29">
        <f>B161-F161</f>
        <v>705000</v>
      </c>
      <c r="F161" s="29">
        <v>79183000</v>
      </c>
      <c r="G161" s="30">
        <v>100</v>
      </c>
      <c r="H161" s="22"/>
      <c r="I161" s="16"/>
    </row>
    <row r="162" spans="1:9" ht="24" x14ac:dyDescent="0.25">
      <c r="A162" s="28" t="s">
        <v>118</v>
      </c>
      <c r="B162" s="29">
        <v>30000000</v>
      </c>
      <c r="C162" s="28" t="s">
        <v>104</v>
      </c>
      <c r="D162" s="29">
        <v>29257000</v>
      </c>
      <c r="E162" s="29">
        <f>B162-F162</f>
        <v>743000</v>
      </c>
      <c r="F162" s="29">
        <v>29257000</v>
      </c>
      <c r="G162" s="30">
        <v>100</v>
      </c>
      <c r="H162" s="22"/>
      <c r="I162" s="16"/>
    </row>
    <row r="163" spans="1:9" ht="24" x14ac:dyDescent="0.25">
      <c r="A163" s="28" t="s">
        <v>119</v>
      </c>
      <c r="B163" s="29">
        <v>30000000</v>
      </c>
      <c r="C163" s="28" t="s">
        <v>104</v>
      </c>
      <c r="D163" s="29">
        <v>29305000</v>
      </c>
      <c r="E163" s="29">
        <f>B163-F163</f>
        <v>695000</v>
      </c>
      <c r="F163" s="29">
        <v>29305000</v>
      </c>
      <c r="G163" s="30">
        <v>100</v>
      </c>
      <c r="H163" s="22"/>
      <c r="I163" s="16"/>
    </row>
    <row r="164" spans="1:9" ht="24" x14ac:dyDescent="0.25">
      <c r="A164" s="28" t="s">
        <v>120</v>
      </c>
      <c r="B164" s="29">
        <v>30000000</v>
      </c>
      <c r="C164" s="28" t="s">
        <v>104</v>
      </c>
      <c r="D164" s="29">
        <v>30000000</v>
      </c>
      <c r="E164" s="29">
        <f>B164-F164</f>
        <v>1416000</v>
      </c>
      <c r="F164" s="29">
        <v>28584000</v>
      </c>
      <c r="G164" s="30">
        <v>100</v>
      </c>
      <c r="H164" s="22"/>
      <c r="I164" s="16"/>
    </row>
    <row r="165" spans="1:9" x14ac:dyDescent="0.25">
      <c r="A165" s="28" t="s">
        <v>84</v>
      </c>
      <c r="B165" s="29">
        <v>112000</v>
      </c>
      <c r="C165" s="28" t="s">
        <v>15</v>
      </c>
      <c r="D165" s="29">
        <v>0</v>
      </c>
      <c r="E165" s="29">
        <f>B165-F165</f>
        <v>112000</v>
      </c>
      <c r="F165" s="29">
        <v>0</v>
      </c>
      <c r="G165" s="30">
        <f>F165/B165*100</f>
        <v>0</v>
      </c>
      <c r="H165" s="22"/>
      <c r="I165" s="16"/>
    </row>
    <row r="166" spans="1:9" ht="36" x14ac:dyDescent="0.25">
      <c r="A166" s="28" t="s">
        <v>121</v>
      </c>
      <c r="B166" s="29">
        <v>15000000</v>
      </c>
      <c r="C166" s="28" t="s">
        <v>111</v>
      </c>
      <c r="D166" s="29">
        <v>14235750</v>
      </c>
      <c r="E166" s="29">
        <f>B166-F166</f>
        <v>764250</v>
      </c>
      <c r="F166" s="29">
        <v>14235750</v>
      </c>
      <c r="G166" s="30">
        <v>100</v>
      </c>
      <c r="H166" s="22"/>
      <c r="I166" s="16"/>
    </row>
    <row r="167" spans="1:9" x14ac:dyDescent="0.25">
      <c r="A167" s="12" t="s">
        <v>122</v>
      </c>
      <c r="B167" s="13">
        <f>SUM(B168)</f>
        <v>5762290500</v>
      </c>
      <c r="C167" s="12"/>
      <c r="D167" s="13"/>
      <c r="E167" s="13">
        <f>SUM(E168)</f>
        <v>114444550</v>
      </c>
      <c r="F167" s="13">
        <f>SUM(F168)</f>
        <v>5647845950</v>
      </c>
      <c r="G167" s="14">
        <f>G168</f>
        <v>97.08</v>
      </c>
      <c r="H167" s="22"/>
      <c r="I167" s="16"/>
    </row>
    <row r="168" spans="1:9" ht="36" x14ac:dyDescent="0.25">
      <c r="A168" s="17" t="s">
        <v>123</v>
      </c>
      <c r="B168" s="18">
        <f>SUM(B169,B188,B206,B218)</f>
        <v>5762290500</v>
      </c>
      <c r="C168" s="19"/>
      <c r="D168" s="20"/>
      <c r="E168" s="18">
        <f>SUM(E169,E188,E206,E218)</f>
        <v>114444550</v>
      </c>
      <c r="F168" s="18">
        <f>SUM(F169,F188,F206,F218)</f>
        <v>5647845950</v>
      </c>
      <c r="G168" s="21">
        <v>97.08</v>
      </c>
      <c r="H168" s="22"/>
      <c r="I168" s="16"/>
    </row>
    <row r="169" spans="1:9" x14ac:dyDescent="0.25">
      <c r="A169" s="23" t="s">
        <v>124</v>
      </c>
      <c r="B169" s="24">
        <f>SUM(B170:B187)</f>
        <v>2241458000</v>
      </c>
      <c r="C169" s="25"/>
      <c r="D169" s="26"/>
      <c r="E169" s="24">
        <f>SUM(E170:E187)</f>
        <v>31251700</v>
      </c>
      <c r="F169" s="24">
        <f>SUM(F170:F187)</f>
        <v>2210206300</v>
      </c>
      <c r="G169" s="27">
        <f>AVERAGE(G170:G187)</f>
        <v>99.827438468170016</v>
      </c>
      <c r="H169" s="16"/>
      <c r="I169" s="16"/>
    </row>
    <row r="170" spans="1:9" ht="24" x14ac:dyDescent="0.25">
      <c r="A170" s="28" t="s">
        <v>125</v>
      </c>
      <c r="B170" s="29">
        <v>115000000</v>
      </c>
      <c r="C170" s="28" t="s">
        <v>104</v>
      </c>
      <c r="D170" s="29">
        <v>113341000</v>
      </c>
      <c r="E170" s="29">
        <f>B170-F170</f>
        <v>1659000</v>
      </c>
      <c r="F170" s="29">
        <v>113341000</v>
      </c>
      <c r="G170" s="30">
        <v>100</v>
      </c>
      <c r="H170" s="22"/>
      <c r="I170" s="16"/>
    </row>
    <row r="171" spans="1:9" ht="24" x14ac:dyDescent="0.25">
      <c r="A171" s="28" t="s">
        <v>126</v>
      </c>
      <c r="B171" s="29">
        <v>170000000</v>
      </c>
      <c r="C171" s="28" t="s">
        <v>104</v>
      </c>
      <c r="D171" s="29">
        <v>166754000</v>
      </c>
      <c r="E171" s="29">
        <f>B171-F171</f>
        <v>3246000</v>
      </c>
      <c r="F171" s="29">
        <v>166754000</v>
      </c>
      <c r="G171" s="30">
        <v>100</v>
      </c>
      <c r="H171" s="22"/>
      <c r="I171" s="16"/>
    </row>
    <row r="172" spans="1:9" ht="24" x14ac:dyDescent="0.25">
      <c r="A172" s="28" t="s">
        <v>127</v>
      </c>
      <c r="B172" s="29">
        <v>110000000</v>
      </c>
      <c r="C172" s="28" t="s">
        <v>104</v>
      </c>
      <c r="D172" s="29">
        <v>108462000</v>
      </c>
      <c r="E172" s="29">
        <f>B172-F172</f>
        <v>1538000</v>
      </c>
      <c r="F172" s="29">
        <v>108462000</v>
      </c>
      <c r="G172" s="30">
        <v>100</v>
      </c>
      <c r="H172" s="22"/>
      <c r="I172" s="16"/>
    </row>
    <row r="173" spans="1:9" ht="24" x14ac:dyDescent="0.25">
      <c r="A173" s="28" t="s">
        <v>128</v>
      </c>
      <c r="B173" s="29">
        <v>115000000</v>
      </c>
      <c r="C173" s="28" t="s">
        <v>104</v>
      </c>
      <c r="D173" s="29">
        <v>113553000</v>
      </c>
      <c r="E173" s="29">
        <f>B173-F173</f>
        <v>1447000</v>
      </c>
      <c r="F173" s="29">
        <v>113553000</v>
      </c>
      <c r="G173" s="30">
        <v>100</v>
      </c>
      <c r="H173" s="22"/>
      <c r="I173" s="16"/>
    </row>
    <row r="174" spans="1:9" ht="24" x14ac:dyDescent="0.25">
      <c r="A174" s="28" t="s">
        <v>129</v>
      </c>
      <c r="B174" s="29">
        <v>110000000</v>
      </c>
      <c r="C174" s="28" t="s">
        <v>104</v>
      </c>
      <c r="D174" s="29">
        <v>108031000</v>
      </c>
      <c r="E174" s="29">
        <f>B174-F174</f>
        <v>1969000</v>
      </c>
      <c r="F174" s="29">
        <v>108031000</v>
      </c>
      <c r="G174" s="30">
        <v>100</v>
      </c>
      <c r="H174" s="22"/>
      <c r="I174" s="16"/>
    </row>
    <row r="175" spans="1:9" ht="24" x14ac:dyDescent="0.25">
      <c r="A175" s="28" t="s">
        <v>130</v>
      </c>
      <c r="B175" s="29">
        <v>140000000</v>
      </c>
      <c r="C175" s="28" t="s">
        <v>104</v>
      </c>
      <c r="D175" s="29">
        <v>138753000</v>
      </c>
      <c r="E175" s="29">
        <f>B175-F175</f>
        <v>1247000</v>
      </c>
      <c r="F175" s="29">
        <v>138753000</v>
      </c>
      <c r="G175" s="30">
        <v>100</v>
      </c>
      <c r="H175" s="22"/>
      <c r="I175" s="16"/>
    </row>
    <row r="176" spans="1:9" ht="24" x14ac:dyDescent="0.25">
      <c r="A176" s="28" t="s">
        <v>131</v>
      </c>
      <c r="B176" s="29">
        <v>160000000</v>
      </c>
      <c r="C176" s="28" t="s">
        <v>104</v>
      </c>
      <c r="D176" s="29">
        <v>157951000</v>
      </c>
      <c r="E176" s="29">
        <f>B176-F176</f>
        <v>2049000</v>
      </c>
      <c r="F176" s="29">
        <v>157951000</v>
      </c>
      <c r="G176" s="30">
        <v>100</v>
      </c>
      <c r="H176" s="22"/>
      <c r="I176" s="16"/>
    </row>
    <row r="177" spans="1:9" ht="24" x14ac:dyDescent="0.25">
      <c r="A177" s="28" t="s">
        <v>132</v>
      </c>
      <c r="B177" s="29">
        <v>135000000</v>
      </c>
      <c r="C177" s="28" t="s">
        <v>104</v>
      </c>
      <c r="D177" s="29">
        <v>134249000</v>
      </c>
      <c r="E177" s="29">
        <f>B177-F177</f>
        <v>751000</v>
      </c>
      <c r="F177" s="29">
        <v>134249000</v>
      </c>
      <c r="G177" s="30">
        <v>100</v>
      </c>
      <c r="H177" s="22"/>
      <c r="I177" s="16"/>
    </row>
    <row r="178" spans="1:9" ht="24" x14ac:dyDescent="0.25">
      <c r="A178" s="28" t="s">
        <v>133</v>
      </c>
      <c r="B178" s="29">
        <v>120000000</v>
      </c>
      <c r="C178" s="28" t="s">
        <v>104</v>
      </c>
      <c r="D178" s="29">
        <v>118402000</v>
      </c>
      <c r="E178" s="29">
        <f>B178-F178</f>
        <v>1598000</v>
      </c>
      <c r="F178" s="29">
        <v>118402000</v>
      </c>
      <c r="G178" s="30">
        <v>100</v>
      </c>
      <c r="H178" s="22"/>
      <c r="I178" s="16"/>
    </row>
    <row r="179" spans="1:9" ht="24" x14ac:dyDescent="0.25">
      <c r="A179" s="28" t="s">
        <v>134</v>
      </c>
      <c r="B179" s="29">
        <v>115000000</v>
      </c>
      <c r="C179" s="28" t="s">
        <v>104</v>
      </c>
      <c r="D179" s="29">
        <v>113796000</v>
      </c>
      <c r="E179" s="29">
        <f>B179-F179</f>
        <v>1204000</v>
      </c>
      <c r="F179" s="29">
        <v>113796000</v>
      </c>
      <c r="G179" s="30">
        <v>100</v>
      </c>
      <c r="H179" s="22"/>
      <c r="I179" s="16"/>
    </row>
    <row r="180" spans="1:9" ht="24" x14ac:dyDescent="0.25">
      <c r="A180" s="28" t="s">
        <v>135</v>
      </c>
      <c r="B180" s="29">
        <v>140000000</v>
      </c>
      <c r="C180" s="28" t="s">
        <v>104</v>
      </c>
      <c r="D180" s="29">
        <v>138189000</v>
      </c>
      <c r="E180" s="29">
        <f>B180-F180</f>
        <v>1811000</v>
      </c>
      <c r="F180" s="29">
        <v>138189000</v>
      </c>
      <c r="G180" s="30">
        <v>100</v>
      </c>
      <c r="H180" s="22"/>
      <c r="I180" s="16"/>
    </row>
    <row r="181" spans="1:9" ht="24" x14ac:dyDescent="0.25">
      <c r="A181" s="28" t="s">
        <v>136</v>
      </c>
      <c r="B181" s="29">
        <v>130000000</v>
      </c>
      <c r="C181" s="28" t="s">
        <v>104</v>
      </c>
      <c r="D181" s="29">
        <v>128255000</v>
      </c>
      <c r="E181" s="29">
        <f>B181-F181</f>
        <v>1745000</v>
      </c>
      <c r="F181" s="29">
        <v>128255000</v>
      </c>
      <c r="G181" s="30">
        <v>100</v>
      </c>
      <c r="H181" s="22"/>
      <c r="I181" s="16"/>
    </row>
    <row r="182" spans="1:9" ht="24" x14ac:dyDescent="0.25">
      <c r="A182" s="28" t="s">
        <v>137</v>
      </c>
      <c r="B182" s="29">
        <v>120000000</v>
      </c>
      <c r="C182" s="28" t="s">
        <v>104</v>
      </c>
      <c r="D182" s="29">
        <v>118199000</v>
      </c>
      <c r="E182" s="29">
        <f>B182-F182</f>
        <v>1801000</v>
      </c>
      <c r="F182" s="29">
        <v>118199000</v>
      </c>
      <c r="G182" s="30">
        <v>100</v>
      </c>
      <c r="H182" s="22"/>
      <c r="I182" s="16"/>
    </row>
    <row r="183" spans="1:9" ht="24" x14ac:dyDescent="0.25">
      <c r="A183" s="28" t="s">
        <v>138</v>
      </c>
      <c r="B183" s="29">
        <v>110000000</v>
      </c>
      <c r="C183" s="28" t="s">
        <v>104</v>
      </c>
      <c r="D183" s="29">
        <v>108873000</v>
      </c>
      <c r="E183" s="29">
        <f>B183-F183</f>
        <v>1127000</v>
      </c>
      <c r="F183" s="29">
        <v>108873000</v>
      </c>
      <c r="G183" s="30">
        <v>100</v>
      </c>
      <c r="H183" s="22"/>
      <c r="I183" s="16"/>
    </row>
    <row r="184" spans="1:9" ht="24" x14ac:dyDescent="0.25">
      <c r="A184" s="28" t="s">
        <v>139</v>
      </c>
      <c r="B184" s="29">
        <v>110000000</v>
      </c>
      <c r="C184" s="28" t="s">
        <v>104</v>
      </c>
      <c r="D184" s="29">
        <v>108665000</v>
      </c>
      <c r="E184" s="29">
        <f>B184-F184</f>
        <v>1335000</v>
      </c>
      <c r="F184" s="29">
        <v>108665000</v>
      </c>
      <c r="G184" s="30">
        <v>100</v>
      </c>
      <c r="H184" s="22"/>
      <c r="I184" s="16"/>
    </row>
    <row r="185" spans="1:9" ht="24" x14ac:dyDescent="0.25">
      <c r="A185" s="28" t="s">
        <v>140</v>
      </c>
      <c r="B185" s="29">
        <v>125000000</v>
      </c>
      <c r="C185" s="28" t="s">
        <v>104</v>
      </c>
      <c r="D185" s="29">
        <v>123173000</v>
      </c>
      <c r="E185" s="29">
        <f>B185-F185</f>
        <v>1827000</v>
      </c>
      <c r="F185" s="29">
        <v>123173000</v>
      </c>
      <c r="G185" s="30">
        <v>100</v>
      </c>
      <c r="H185" s="22"/>
      <c r="I185" s="16"/>
    </row>
    <row r="186" spans="1:9" ht="24" x14ac:dyDescent="0.25">
      <c r="A186" s="28" t="s">
        <v>141</v>
      </c>
      <c r="B186" s="29">
        <v>110000000</v>
      </c>
      <c r="C186" s="28" t="s">
        <v>104</v>
      </c>
      <c r="D186" s="29">
        <v>108409000</v>
      </c>
      <c r="E186" s="29">
        <f>B186-F186</f>
        <v>1591000</v>
      </c>
      <c r="F186" s="29">
        <v>108409000</v>
      </c>
      <c r="G186" s="30">
        <v>100</v>
      </c>
      <c r="H186" s="22"/>
      <c r="I186" s="16"/>
    </row>
    <row r="187" spans="1:9" x14ac:dyDescent="0.25">
      <c r="A187" s="28" t="s">
        <v>142</v>
      </c>
      <c r="B187" s="29">
        <f>680000+1080000+3740000+1425000+201000+1100000+6480000+450000+4440000+1500000+3200000+34350000+2775000+27000000+6005000+3700000+1980000+6336000+16000</f>
        <v>106458000</v>
      </c>
      <c r="C187" s="28" t="s">
        <v>15</v>
      </c>
      <c r="D187" s="29">
        <f>F187</f>
        <v>103151300</v>
      </c>
      <c r="E187" s="29">
        <f>B187-F187</f>
        <v>3306700</v>
      </c>
      <c r="F187" s="29">
        <v>103151300</v>
      </c>
      <c r="G187" s="30">
        <f>F187/B187*100</f>
        <v>96.893892427060436</v>
      </c>
      <c r="H187" s="33"/>
      <c r="I187" s="16"/>
    </row>
    <row r="188" spans="1:9" x14ac:dyDescent="0.25">
      <c r="A188" s="23" t="s">
        <v>143</v>
      </c>
      <c r="B188" s="24">
        <f>SUM(B189:B205)</f>
        <v>3084083000</v>
      </c>
      <c r="C188" s="25"/>
      <c r="D188" s="26"/>
      <c r="E188" s="24">
        <f>SUM(E189:E205)</f>
        <v>50628500</v>
      </c>
      <c r="F188" s="24">
        <f>SUM(F189:F205)</f>
        <v>3033454500</v>
      </c>
      <c r="G188" s="27">
        <f>AVERAGE(G189:G205)</f>
        <v>99.764901881273502</v>
      </c>
      <c r="H188" s="16"/>
      <c r="I188" s="16"/>
    </row>
    <row r="189" spans="1:9" ht="24" x14ac:dyDescent="0.25">
      <c r="A189" s="28" t="s">
        <v>144</v>
      </c>
      <c r="B189" s="29">
        <v>100000000</v>
      </c>
      <c r="C189" s="28" t="s">
        <v>104</v>
      </c>
      <c r="D189" s="29">
        <v>98510000</v>
      </c>
      <c r="E189" s="29">
        <f>B189-F189</f>
        <v>1490000</v>
      </c>
      <c r="F189" s="29">
        <v>98510000</v>
      </c>
      <c r="G189" s="30">
        <v>100</v>
      </c>
      <c r="H189" s="22"/>
      <c r="I189" s="16"/>
    </row>
    <row r="190" spans="1:9" ht="24" x14ac:dyDescent="0.25">
      <c r="A190" s="28" t="s">
        <v>145</v>
      </c>
      <c r="B190" s="29">
        <v>50000000</v>
      </c>
      <c r="C190" s="28" t="s">
        <v>56</v>
      </c>
      <c r="D190" s="29">
        <v>49870000</v>
      </c>
      <c r="E190" s="29">
        <f>B190-F190</f>
        <v>130000</v>
      </c>
      <c r="F190" s="29">
        <v>49870000</v>
      </c>
      <c r="G190" s="30">
        <v>100</v>
      </c>
      <c r="H190" s="22"/>
      <c r="I190" s="16"/>
    </row>
    <row r="191" spans="1:9" ht="24" x14ac:dyDescent="0.25">
      <c r="A191" s="28" t="s">
        <v>146</v>
      </c>
      <c r="B191" s="29">
        <f>945000+1680000+2346000+176000+17976000+24000000+1705000+780000+25392000</f>
        <v>75000000</v>
      </c>
      <c r="C191" s="28" t="s">
        <v>56</v>
      </c>
      <c r="D191" s="29">
        <v>74650000</v>
      </c>
      <c r="E191" s="29">
        <f>B191-F191</f>
        <v>350000</v>
      </c>
      <c r="F191" s="29">
        <v>74650000</v>
      </c>
      <c r="G191" s="30">
        <v>100</v>
      </c>
      <c r="H191" s="22"/>
      <c r="I191" s="16"/>
    </row>
    <row r="192" spans="1:9" ht="24" x14ac:dyDescent="0.25">
      <c r="A192" s="28" t="s">
        <v>147</v>
      </c>
      <c r="B192" s="29">
        <f>24368200+25631800</f>
        <v>50000000</v>
      </c>
      <c r="C192" s="28" t="s">
        <v>104</v>
      </c>
      <c r="D192" s="29">
        <v>49415000</v>
      </c>
      <c r="E192" s="29">
        <f>B192-F192</f>
        <v>585000</v>
      </c>
      <c r="F192" s="29">
        <v>49415000</v>
      </c>
      <c r="G192" s="30">
        <v>100</v>
      </c>
      <c r="H192" s="22"/>
      <c r="I192" s="16"/>
    </row>
    <row r="193" spans="1:9" x14ac:dyDescent="0.25">
      <c r="A193" s="28" t="s">
        <v>148</v>
      </c>
      <c r="B193" s="29">
        <v>1654400000</v>
      </c>
      <c r="C193" s="28" t="s">
        <v>93</v>
      </c>
      <c r="D193" s="29">
        <v>129800000</v>
      </c>
      <c r="E193" s="29">
        <f>B193-F193</f>
        <v>28600000</v>
      </c>
      <c r="F193" s="29">
        <v>1625800000</v>
      </c>
      <c r="G193" s="30">
        <v>100</v>
      </c>
      <c r="H193" s="16"/>
      <c r="I193" s="16"/>
    </row>
    <row r="194" spans="1:9" ht="24" x14ac:dyDescent="0.25">
      <c r="A194" s="28" t="s">
        <v>149</v>
      </c>
      <c r="B194" s="29">
        <v>90000000</v>
      </c>
      <c r="C194" s="28" t="s">
        <v>104</v>
      </c>
      <c r="D194" s="29">
        <v>88719000</v>
      </c>
      <c r="E194" s="29">
        <f>B194-F194</f>
        <v>1281000</v>
      </c>
      <c r="F194" s="29">
        <v>88719000</v>
      </c>
      <c r="G194" s="30">
        <v>100</v>
      </c>
      <c r="H194" s="22"/>
      <c r="I194" s="16"/>
    </row>
    <row r="195" spans="1:9" ht="24" x14ac:dyDescent="0.25">
      <c r="A195" s="28" t="s">
        <v>150</v>
      </c>
      <c r="B195" s="29">
        <v>90000000</v>
      </c>
      <c r="C195" s="28" t="s">
        <v>104</v>
      </c>
      <c r="D195" s="29">
        <v>88665000</v>
      </c>
      <c r="E195" s="29">
        <f>B195-F195</f>
        <v>1335000</v>
      </c>
      <c r="F195" s="29">
        <v>88665000</v>
      </c>
      <c r="G195" s="30">
        <v>100</v>
      </c>
      <c r="H195" s="22"/>
      <c r="I195" s="16"/>
    </row>
    <row r="196" spans="1:9" ht="24" x14ac:dyDescent="0.25">
      <c r="A196" s="28" t="s">
        <v>151</v>
      </c>
      <c r="B196" s="29">
        <v>85000000</v>
      </c>
      <c r="C196" s="28" t="s">
        <v>104</v>
      </c>
      <c r="D196" s="29">
        <v>83807000</v>
      </c>
      <c r="E196" s="29">
        <f>B196-F196</f>
        <v>1193000</v>
      </c>
      <c r="F196" s="29">
        <v>83807000</v>
      </c>
      <c r="G196" s="30">
        <v>100</v>
      </c>
      <c r="H196" s="22"/>
      <c r="I196" s="16"/>
    </row>
    <row r="197" spans="1:9" ht="24" x14ac:dyDescent="0.25">
      <c r="A197" s="28" t="s">
        <v>152</v>
      </c>
      <c r="B197" s="29">
        <v>80000000</v>
      </c>
      <c r="C197" s="28" t="s">
        <v>104</v>
      </c>
      <c r="D197" s="29">
        <v>78854000</v>
      </c>
      <c r="E197" s="29">
        <f>B197-F197</f>
        <v>1146000</v>
      </c>
      <c r="F197" s="29">
        <v>78854000</v>
      </c>
      <c r="G197" s="30">
        <v>100</v>
      </c>
      <c r="H197" s="22"/>
      <c r="I197" s="16"/>
    </row>
    <row r="198" spans="1:9" ht="24" x14ac:dyDescent="0.25">
      <c r="A198" s="28" t="s">
        <v>153</v>
      </c>
      <c r="B198" s="29">
        <v>85000000</v>
      </c>
      <c r="C198" s="28" t="s">
        <v>104</v>
      </c>
      <c r="D198" s="29">
        <v>83868000</v>
      </c>
      <c r="E198" s="29">
        <f>B198-F198</f>
        <v>1132000</v>
      </c>
      <c r="F198" s="29">
        <v>83868000</v>
      </c>
      <c r="G198" s="30">
        <v>100</v>
      </c>
      <c r="H198" s="22"/>
      <c r="I198" s="16"/>
    </row>
    <row r="199" spans="1:9" ht="24" x14ac:dyDescent="0.25">
      <c r="A199" s="28" t="s">
        <v>154</v>
      </c>
      <c r="B199" s="29">
        <v>90000000</v>
      </c>
      <c r="C199" s="28" t="s">
        <v>104</v>
      </c>
      <c r="D199" s="29">
        <v>89009000</v>
      </c>
      <c r="E199" s="29">
        <f>B199-F199</f>
        <v>991000</v>
      </c>
      <c r="F199" s="29">
        <v>89009000</v>
      </c>
      <c r="G199" s="30">
        <v>100</v>
      </c>
      <c r="H199" s="22"/>
      <c r="I199" s="16"/>
    </row>
    <row r="200" spans="1:9" ht="24" x14ac:dyDescent="0.25">
      <c r="A200" s="28" t="s">
        <v>155</v>
      </c>
      <c r="B200" s="29">
        <v>90000000</v>
      </c>
      <c r="C200" s="28" t="s">
        <v>104</v>
      </c>
      <c r="D200" s="29">
        <v>89030000</v>
      </c>
      <c r="E200" s="29">
        <f>B200-F200</f>
        <v>970000</v>
      </c>
      <c r="F200" s="29">
        <v>89030000</v>
      </c>
      <c r="G200" s="30">
        <v>100</v>
      </c>
      <c r="H200" s="22"/>
      <c r="I200" s="16"/>
    </row>
    <row r="201" spans="1:9" ht="24" x14ac:dyDescent="0.25">
      <c r="A201" s="28" t="s">
        <v>156</v>
      </c>
      <c r="B201" s="29">
        <v>80000000</v>
      </c>
      <c r="C201" s="28" t="s">
        <v>104</v>
      </c>
      <c r="D201" s="29">
        <v>79324000</v>
      </c>
      <c r="E201" s="29">
        <f>B201-F201</f>
        <v>676000</v>
      </c>
      <c r="F201" s="29">
        <v>79324000</v>
      </c>
      <c r="G201" s="30">
        <v>100</v>
      </c>
      <c r="H201" s="22"/>
      <c r="I201" s="16"/>
    </row>
    <row r="202" spans="1:9" ht="24" x14ac:dyDescent="0.25">
      <c r="A202" s="28" t="s">
        <v>157</v>
      </c>
      <c r="B202" s="29">
        <v>90000000</v>
      </c>
      <c r="C202" s="28" t="s">
        <v>104</v>
      </c>
      <c r="D202" s="29">
        <v>88792000</v>
      </c>
      <c r="E202" s="29">
        <f>B202-F202</f>
        <v>1208000</v>
      </c>
      <c r="F202" s="29">
        <v>88792000</v>
      </c>
      <c r="G202" s="30">
        <v>100</v>
      </c>
      <c r="H202" s="22"/>
      <c r="I202" s="16"/>
    </row>
    <row r="203" spans="1:9" ht="24" x14ac:dyDescent="0.25">
      <c r="A203" s="28" t="s">
        <v>158</v>
      </c>
      <c r="B203" s="29">
        <v>90000000</v>
      </c>
      <c r="C203" s="28" t="s">
        <v>104</v>
      </c>
      <c r="D203" s="29">
        <v>89834000</v>
      </c>
      <c r="E203" s="29">
        <f>B203-F203</f>
        <v>166000</v>
      </c>
      <c r="F203" s="29">
        <v>89834000</v>
      </c>
      <c r="G203" s="30">
        <v>100</v>
      </c>
      <c r="H203" s="22"/>
      <c r="I203" s="16"/>
    </row>
    <row r="204" spans="1:9" ht="24" x14ac:dyDescent="0.25">
      <c r="A204" s="28" t="s">
        <v>159</v>
      </c>
      <c r="B204" s="29">
        <v>80000000</v>
      </c>
      <c r="C204" s="28" t="s">
        <v>104</v>
      </c>
      <c r="D204" s="29">
        <v>78805000</v>
      </c>
      <c r="E204" s="29">
        <f>B204-F204</f>
        <v>1195000</v>
      </c>
      <c r="F204" s="29">
        <v>78805000</v>
      </c>
      <c r="G204" s="30">
        <v>100</v>
      </c>
      <c r="H204" s="22"/>
      <c r="I204" s="16"/>
    </row>
    <row r="205" spans="1:9" x14ac:dyDescent="0.25">
      <c r="A205" s="28" t="s">
        <v>160</v>
      </c>
      <c r="B205" s="29">
        <f>148300000+6000000+6003000+6000000+8380000+30000000</f>
        <v>204683000</v>
      </c>
      <c r="C205" s="28" t="s">
        <v>15</v>
      </c>
      <c r="D205" s="29">
        <v>196502500</v>
      </c>
      <c r="E205" s="29">
        <f>B205-F205</f>
        <v>8180500</v>
      </c>
      <c r="F205" s="29">
        <v>196502500</v>
      </c>
      <c r="G205" s="30">
        <f>F205/B205*100</f>
        <v>96.00333198164968</v>
      </c>
      <c r="H205" s="4"/>
      <c r="I205" s="4"/>
    </row>
    <row r="206" spans="1:9" x14ac:dyDescent="0.25">
      <c r="A206" s="23" t="s">
        <v>161</v>
      </c>
      <c r="B206" s="24">
        <f>SUM(B207:B217)</f>
        <v>130147000</v>
      </c>
      <c r="C206" s="25"/>
      <c r="D206" s="26"/>
      <c r="E206" s="24">
        <f>SUM(E207:E217)</f>
        <v>24480850</v>
      </c>
      <c r="F206" s="24">
        <f>SUM(F207:F217)</f>
        <v>105666150</v>
      </c>
      <c r="G206" s="27">
        <f>AVERAGE(G208,G210:G217)</f>
        <v>82.707072009094034</v>
      </c>
      <c r="H206" s="16"/>
      <c r="I206" s="16"/>
    </row>
    <row r="207" spans="1:9" x14ac:dyDescent="0.25">
      <c r="A207" s="28" t="s">
        <v>162</v>
      </c>
      <c r="B207" s="34">
        <v>0</v>
      </c>
      <c r="C207" s="28" t="s">
        <v>163</v>
      </c>
      <c r="D207" s="29">
        <f>F207</f>
        <v>0</v>
      </c>
      <c r="E207" s="29">
        <f>B207-F207</f>
        <v>0</v>
      </c>
      <c r="F207" s="29">
        <v>0</v>
      </c>
      <c r="G207" s="30">
        <v>0</v>
      </c>
      <c r="H207" s="22"/>
      <c r="I207" s="16"/>
    </row>
    <row r="208" spans="1:9" ht="24" x14ac:dyDescent="0.25">
      <c r="A208" s="28" t="s">
        <v>164</v>
      </c>
      <c r="B208" s="29">
        <f>162000+432000+156000+416000+105000+280000</f>
        <v>1551000</v>
      </c>
      <c r="C208" s="28" t="s">
        <v>15</v>
      </c>
      <c r="D208" s="29">
        <f t="shared" ref="D208:D217" si="0">F208</f>
        <v>1166000</v>
      </c>
      <c r="E208" s="29">
        <f>B208-F208</f>
        <v>385000</v>
      </c>
      <c r="F208" s="29">
        <v>1166000</v>
      </c>
      <c r="G208" s="30">
        <f>F208/B208*100</f>
        <v>75.177304964539005</v>
      </c>
      <c r="H208" s="22"/>
      <c r="I208" s="16"/>
    </row>
    <row r="209" spans="1:9" ht="24" x14ac:dyDescent="0.25">
      <c r="A209" s="28" t="s">
        <v>165</v>
      </c>
      <c r="B209" s="29">
        <f>806000+806000+806000</f>
        <v>2418000</v>
      </c>
      <c r="C209" s="28" t="s">
        <v>15</v>
      </c>
      <c r="D209" s="29">
        <f t="shared" si="0"/>
        <v>0</v>
      </c>
      <c r="E209" s="29">
        <f>B209-F209</f>
        <v>2418000</v>
      </c>
      <c r="F209" s="29">
        <v>0</v>
      </c>
      <c r="G209" s="30">
        <v>0</v>
      </c>
      <c r="H209" s="22"/>
      <c r="I209" s="16"/>
    </row>
    <row r="210" spans="1:9" ht="24" x14ac:dyDescent="0.25">
      <c r="A210" s="28" t="s">
        <v>166</v>
      </c>
      <c r="B210" s="29">
        <f>1752000+2100000+165000+900000+275000+900000+110000</f>
        <v>6202000</v>
      </c>
      <c r="C210" s="28" t="s">
        <v>15</v>
      </c>
      <c r="D210" s="29">
        <f t="shared" si="0"/>
        <v>6202000</v>
      </c>
      <c r="E210" s="29">
        <f>B210-F210</f>
        <v>0</v>
      </c>
      <c r="F210" s="29">
        <v>6202000</v>
      </c>
      <c r="G210" s="30">
        <f>F210/B210*100</f>
        <v>100</v>
      </c>
      <c r="H210" s="22"/>
      <c r="I210" s="16"/>
    </row>
    <row r="211" spans="1:9" ht="24" x14ac:dyDescent="0.25">
      <c r="A211" s="28" t="s">
        <v>167</v>
      </c>
      <c r="B211" s="29">
        <v>550000</v>
      </c>
      <c r="C211" s="28" t="s">
        <v>15</v>
      </c>
      <c r="D211" s="29">
        <f t="shared" si="0"/>
        <v>550000</v>
      </c>
      <c r="E211" s="29">
        <f>B211-F211</f>
        <v>0</v>
      </c>
      <c r="F211" s="29">
        <v>550000</v>
      </c>
      <c r="G211" s="30">
        <f>F211/B211*100</f>
        <v>100</v>
      </c>
      <c r="H211" s="22"/>
      <c r="I211" s="16"/>
    </row>
    <row r="212" spans="1:9" ht="24" x14ac:dyDescent="0.25">
      <c r="A212" s="28" t="s">
        <v>168</v>
      </c>
      <c r="B212" s="29">
        <f>13500000+13000000</f>
        <v>26500000</v>
      </c>
      <c r="C212" s="28" t="s">
        <v>15</v>
      </c>
      <c r="D212" s="29">
        <f t="shared" si="0"/>
        <v>26500000</v>
      </c>
      <c r="E212" s="29">
        <f>B212-F212</f>
        <v>0</v>
      </c>
      <c r="F212" s="29">
        <f>13500000+13000000</f>
        <v>26500000</v>
      </c>
      <c r="G212" s="30">
        <f>F212/B212*100</f>
        <v>100</v>
      </c>
      <c r="H212" s="22"/>
      <c r="I212" s="16"/>
    </row>
    <row r="213" spans="1:9" x14ac:dyDescent="0.25">
      <c r="A213" s="28" t="s">
        <v>169</v>
      </c>
      <c r="B213" s="29">
        <f>2010000+6075000+1800000+1800000+1800000+1800000+525000+1200000+750000+6000</f>
        <v>17766000</v>
      </c>
      <c r="C213" s="28" t="s">
        <v>15</v>
      </c>
      <c r="D213" s="29">
        <f t="shared" si="0"/>
        <v>6975000</v>
      </c>
      <c r="E213" s="29">
        <f>B213-F213</f>
        <v>10791000</v>
      </c>
      <c r="F213" s="29">
        <v>6975000</v>
      </c>
      <c r="G213" s="30">
        <f>F213/B213*100</f>
        <v>39.260385005065856</v>
      </c>
      <c r="H213" s="22"/>
      <c r="I213" s="16"/>
    </row>
    <row r="214" spans="1:9" ht="24" x14ac:dyDescent="0.25">
      <c r="A214" s="28" t="s">
        <v>170</v>
      </c>
      <c r="B214" s="29">
        <f>1400000+4000000+500000+200000+1400000+8000000+800000</f>
        <v>16300000</v>
      </c>
      <c r="C214" s="28" t="s">
        <v>15</v>
      </c>
      <c r="D214" s="29">
        <f t="shared" si="0"/>
        <v>6700000</v>
      </c>
      <c r="E214" s="29">
        <f>B214-F214</f>
        <v>9600000</v>
      </c>
      <c r="F214" s="29">
        <v>6700000</v>
      </c>
      <c r="G214" s="30">
        <f>F214/B214*100</f>
        <v>41.104294478527606</v>
      </c>
      <c r="H214" s="22"/>
      <c r="I214" s="16"/>
    </row>
    <row r="215" spans="1:9" ht="36.75" customHeight="1" x14ac:dyDescent="0.25">
      <c r="A215" s="28" t="s">
        <v>171</v>
      </c>
      <c r="B215" s="29">
        <f>1450000+1500000+4750000+6400000</f>
        <v>14100000</v>
      </c>
      <c r="C215" s="28" t="s">
        <v>15</v>
      </c>
      <c r="D215" s="29">
        <f t="shared" si="0"/>
        <v>14040000</v>
      </c>
      <c r="E215" s="29">
        <f>B215-F215</f>
        <v>60000</v>
      </c>
      <c r="F215" s="29">
        <v>14040000</v>
      </c>
      <c r="G215" s="30">
        <f>F215/B215*100</f>
        <v>99.574468085106389</v>
      </c>
      <c r="H215" s="22"/>
      <c r="I215" s="16"/>
    </row>
    <row r="216" spans="1:9" x14ac:dyDescent="0.25">
      <c r="A216" s="28" t="s">
        <v>172</v>
      </c>
      <c r="B216" s="29">
        <f>800000+150000+3330000+1850000+2250000+2402000</f>
        <v>10782000</v>
      </c>
      <c r="C216" s="28" t="s">
        <v>15</v>
      </c>
      <c r="D216" s="29">
        <f t="shared" si="0"/>
        <v>9654000</v>
      </c>
      <c r="E216" s="29">
        <f>B216-F216</f>
        <v>1128000</v>
      </c>
      <c r="F216" s="29">
        <v>9654000</v>
      </c>
      <c r="G216" s="30">
        <f>F216/B216*100</f>
        <v>89.538119087367846</v>
      </c>
      <c r="H216" s="22"/>
      <c r="I216" s="16"/>
    </row>
    <row r="217" spans="1:9" x14ac:dyDescent="0.25">
      <c r="A217" s="28" t="s">
        <v>173</v>
      </c>
      <c r="B217" s="29">
        <f>4500000+225000+9900000+225000+4500000+225000+13650000+750000+3000</f>
        <v>33978000</v>
      </c>
      <c r="C217" s="28" t="s">
        <v>15</v>
      </c>
      <c r="D217" s="29">
        <f t="shared" si="0"/>
        <v>33879150</v>
      </c>
      <c r="E217" s="29">
        <f>B217-F217</f>
        <v>98850</v>
      </c>
      <c r="F217" s="29">
        <v>33879150</v>
      </c>
      <c r="G217" s="30">
        <f>F217/B217*100</f>
        <v>99.709076461239619</v>
      </c>
      <c r="H217" s="22"/>
      <c r="I217" s="16"/>
    </row>
    <row r="218" spans="1:9" ht="24" x14ac:dyDescent="0.25">
      <c r="A218" s="23" t="s">
        <v>174</v>
      </c>
      <c r="B218" s="24">
        <f>SUM(B219:B226)</f>
        <v>306602500</v>
      </c>
      <c r="C218" s="25"/>
      <c r="D218" s="26"/>
      <c r="E218" s="24">
        <f>SUM(E219:E226)</f>
        <v>8083500</v>
      </c>
      <c r="F218" s="24">
        <f>SUM(F219:F226)</f>
        <v>298519000</v>
      </c>
      <c r="G218" s="27">
        <v>99.29</v>
      </c>
      <c r="H218" s="16"/>
      <c r="I218" s="16"/>
    </row>
    <row r="219" spans="1:9" ht="24" x14ac:dyDescent="0.25">
      <c r="A219" s="28" t="s">
        <v>175</v>
      </c>
      <c r="B219" s="29">
        <v>45000000</v>
      </c>
      <c r="C219" s="28" t="s">
        <v>111</v>
      </c>
      <c r="D219" s="29">
        <v>44201000</v>
      </c>
      <c r="E219" s="29">
        <f>B219-F219</f>
        <v>799000</v>
      </c>
      <c r="F219" s="29">
        <v>44201000</v>
      </c>
      <c r="G219" s="30">
        <v>100</v>
      </c>
      <c r="H219" s="22"/>
      <c r="I219" s="16"/>
    </row>
    <row r="220" spans="1:9" ht="24" x14ac:dyDescent="0.25">
      <c r="A220" s="28" t="s">
        <v>176</v>
      </c>
      <c r="B220" s="29">
        <v>45000000</v>
      </c>
      <c r="C220" s="28" t="s">
        <v>111</v>
      </c>
      <c r="D220" s="29">
        <v>44300000</v>
      </c>
      <c r="E220" s="29">
        <f>B220-F220</f>
        <v>700000</v>
      </c>
      <c r="F220" s="29">
        <v>44300000</v>
      </c>
      <c r="G220" s="30">
        <v>100</v>
      </c>
      <c r="H220" s="22"/>
      <c r="I220" s="16"/>
    </row>
    <row r="221" spans="1:9" ht="24" x14ac:dyDescent="0.25">
      <c r="A221" s="28" t="s">
        <v>177</v>
      </c>
      <c r="B221" s="29">
        <v>42000000</v>
      </c>
      <c r="C221" s="28" t="s">
        <v>111</v>
      </c>
      <c r="D221" s="29">
        <v>41445000</v>
      </c>
      <c r="E221" s="29">
        <f>B221-F221</f>
        <v>555000</v>
      </c>
      <c r="F221" s="29">
        <v>41445000</v>
      </c>
      <c r="G221" s="30">
        <v>100</v>
      </c>
      <c r="H221" s="22"/>
      <c r="I221" s="16"/>
    </row>
    <row r="222" spans="1:9" ht="24" x14ac:dyDescent="0.25">
      <c r="A222" s="28" t="s">
        <v>178</v>
      </c>
      <c r="B222" s="29">
        <v>35000000</v>
      </c>
      <c r="C222" s="28" t="s">
        <v>111</v>
      </c>
      <c r="D222" s="29">
        <v>34509000</v>
      </c>
      <c r="E222" s="29">
        <f>B222-F222</f>
        <v>491000</v>
      </c>
      <c r="F222" s="29">
        <v>34509000</v>
      </c>
      <c r="G222" s="30">
        <v>100</v>
      </c>
      <c r="H222" s="22"/>
      <c r="I222" s="16"/>
    </row>
    <row r="223" spans="1:9" ht="36" x14ac:dyDescent="0.25">
      <c r="A223" s="28" t="s">
        <v>179</v>
      </c>
      <c r="B223" s="29">
        <v>43000000</v>
      </c>
      <c r="C223" s="28" t="s">
        <v>111</v>
      </c>
      <c r="D223" s="29">
        <v>42081000</v>
      </c>
      <c r="E223" s="29">
        <f>B223-F223</f>
        <v>919000</v>
      </c>
      <c r="F223" s="29">
        <v>42081000</v>
      </c>
      <c r="G223" s="30">
        <v>100</v>
      </c>
      <c r="H223" s="22"/>
      <c r="I223" s="16"/>
    </row>
    <row r="224" spans="1:9" ht="36" x14ac:dyDescent="0.25">
      <c r="A224" s="28" t="s">
        <v>180</v>
      </c>
      <c r="B224" s="29">
        <v>33000000</v>
      </c>
      <c r="C224" s="28" t="s">
        <v>111</v>
      </c>
      <c r="D224" s="29">
        <v>32500000</v>
      </c>
      <c r="E224" s="29">
        <f>B224-F224</f>
        <v>500000</v>
      </c>
      <c r="F224" s="29">
        <v>32500000</v>
      </c>
      <c r="G224" s="30">
        <v>100</v>
      </c>
      <c r="H224" s="22"/>
      <c r="I224" s="16"/>
    </row>
    <row r="225" spans="1:14" ht="24" x14ac:dyDescent="0.25">
      <c r="A225" s="28" t="s">
        <v>181</v>
      </c>
      <c r="B225" s="29">
        <v>50000000</v>
      </c>
      <c r="C225" s="28" t="s">
        <v>111</v>
      </c>
      <c r="D225" s="29">
        <v>49248000</v>
      </c>
      <c r="E225" s="29">
        <f>B225-F225</f>
        <v>752000</v>
      </c>
      <c r="F225" s="29">
        <v>49248000</v>
      </c>
      <c r="G225" s="30">
        <v>100</v>
      </c>
      <c r="H225" s="22"/>
      <c r="I225" s="16"/>
    </row>
    <row r="226" spans="1:14" x14ac:dyDescent="0.25">
      <c r="A226" s="28" t="s">
        <v>112</v>
      </c>
      <c r="B226" s="29">
        <f>2250000+990000+272000+357000+6900000+150000+630000+2016000+37500</f>
        <v>13602500</v>
      </c>
      <c r="C226" s="28" t="s">
        <v>15</v>
      </c>
      <c r="D226" s="29">
        <f>F226</f>
        <v>10235000</v>
      </c>
      <c r="E226" s="29">
        <f>B226-F226</f>
        <v>3367500</v>
      </c>
      <c r="F226" s="29">
        <v>10235000</v>
      </c>
      <c r="G226" s="30">
        <f>F226/B226*100</f>
        <v>75.243521411505242</v>
      </c>
      <c r="H226" s="22"/>
      <c r="I226" s="16"/>
    </row>
    <row r="227" spans="1:14" ht="24" x14ac:dyDescent="0.25">
      <c r="A227" s="12" t="s">
        <v>182</v>
      </c>
      <c r="B227" s="13">
        <f>SUM(B228)</f>
        <v>3751054500</v>
      </c>
      <c r="C227" s="12"/>
      <c r="D227" s="13"/>
      <c r="E227" s="13">
        <f>SUM(E228)</f>
        <v>121337152</v>
      </c>
      <c r="F227" s="13">
        <f>SUM(F228)</f>
        <v>3629717348</v>
      </c>
      <c r="G227" s="14">
        <f>G228</f>
        <v>98.180298288282856</v>
      </c>
      <c r="H227" s="22"/>
      <c r="I227" s="16"/>
    </row>
    <row r="228" spans="1:14" ht="24" x14ac:dyDescent="0.25">
      <c r="A228" s="17" t="s">
        <v>183</v>
      </c>
      <c r="B228" s="18">
        <f>SUM(B229,B234,B242,B250)</f>
        <v>3751054500</v>
      </c>
      <c r="C228" s="19"/>
      <c r="D228" s="20"/>
      <c r="E228" s="18">
        <f>SUM(E229,E234,E242,E250)</f>
        <v>121337152</v>
      </c>
      <c r="F228" s="18">
        <f>SUM(F229,F234,F242,F250)</f>
        <v>3629717348</v>
      </c>
      <c r="G228" s="21">
        <f>AVERAGE(G229,G234,G242,G250)</f>
        <v>98.180298288282856</v>
      </c>
      <c r="H228" s="22"/>
      <c r="I228" s="16"/>
    </row>
    <row r="229" spans="1:14" ht="24" x14ac:dyDescent="0.25">
      <c r="A229" s="23" t="s">
        <v>184</v>
      </c>
      <c r="B229" s="24">
        <f>SUM(B230:B233)</f>
        <v>255984500</v>
      </c>
      <c r="C229" s="25"/>
      <c r="D229" s="26"/>
      <c r="E229" s="24">
        <f>SUM(E230:E233)</f>
        <v>20381552</v>
      </c>
      <c r="F229" s="24">
        <f>SUM(F230:F233)</f>
        <v>235602948</v>
      </c>
      <c r="G229" s="27">
        <f>AVERAGE(G230:G233)</f>
        <v>94.840708239539111</v>
      </c>
      <c r="H229" s="16"/>
      <c r="I229" s="16"/>
    </row>
    <row r="230" spans="1:14" s="32" customFormat="1" ht="24.75" customHeight="1" x14ac:dyDescent="0.25">
      <c r="A230" s="28" t="s">
        <v>185</v>
      </c>
      <c r="B230" s="29">
        <v>100000000</v>
      </c>
      <c r="C230" s="28" t="s">
        <v>111</v>
      </c>
      <c r="D230" s="29">
        <v>98989800</v>
      </c>
      <c r="E230" s="29">
        <f>B230-F230</f>
        <v>1010200</v>
      </c>
      <c r="F230" s="29">
        <v>98989800</v>
      </c>
      <c r="G230" s="30">
        <v>100</v>
      </c>
      <c r="H230" s="16"/>
      <c r="I230" s="16"/>
      <c r="J230" s="4"/>
      <c r="K230" s="4"/>
      <c r="L230" s="4"/>
      <c r="M230" s="4"/>
      <c r="N230" s="4"/>
    </row>
    <row r="231" spans="1:14" x14ac:dyDescent="0.25">
      <c r="A231" s="28" t="s">
        <v>186</v>
      </c>
      <c r="B231" s="29">
        <v>57200000</v>
      </c>
      <c r="C231" s="28" t="s">
        <v>93</v>
      </c>
      <c r="D231" s="29">
        <f t="shared" ref="D231:D233" si="1">F231</f>
        <v>57200000</v>
      </c>
      <c r="E231" s="29">
        <f>B231-F231</f>
        <v>0</v>
      </c>
      <c r="F231" s="29">
        <v>57200000</v>
      </c>
      <c r="G231" s="30">
        <f>F231/B231*100</f>
        <v>100</v>
      </c>
      <c r="H231" s="22"/>
      <c r="I231" s="16"/>
    </row>
    <row r="232" spans="1:14" x14ac:dyDescent="0.25">
      <c r="A232" s="28" t="s">
        <v>58</v>
      </c>
      <c r="B232" s="29">
        <f>125730000-26945500-7050000</f>
        <v>91734500</v>
      </c>
      <c r="C232" s="28" t="s">
        <v>15</v>
      </c>
      <c r="D232" s="29">
        <f t="shared" si="1"/>
        <v>72803098</v>
      </c>
      <c r="E232" s="29">
        <f>B232-F232</f>
        <v>18931402</v>
      </c>
      <c r="F232" s="29">
        <f>73246648-443550</f>
        <v>72803098</v>
      </c>
      <c r="G232" s="30">
        <f>F232/B232*100</f>
        <v>79.362832958156417</v>
      </c>
      <c r="H232" s="22"/>
      <c r="I232" s="16"/>
    </row>
    <row r="233" spans="1:14" ht="24" x14ac:dyDescent="0.25">
      <c r="A233" s="28" t="s">
        <v>187</v>
      </c>
      <c r="B233" s="29">
        <v>7050000</v>
      </c>
      <c r="C233" s="28" t="s">
        <v>56</v>
      </c>
      <c r="D233" s="29">
        <f t="shared" si="1"/>
        <v>6610050</v>
      </c>
      <c r="E233" s="29">
        <f>B233-F233</f>
        <v>439950</v>
      </c>
      <c r="F233" s="29">
        <v>6610050</v>
      </c>
      <c r="G233" s="30">
        <v>100</v>
      </c>
      <c r="H233" s="22"/>
      <c r="I233" s="16"/>
      <c r="J233" s="32"/>
      <c r="K233" s="32"/>
      <c r="L233" s="32"/>
      <c r="M233" s="32"/>
      <c r="N233" s="32"/>
    </row>
    <row r="234" spans="1:14" ht="24" x14ac:dyDescent="0.25">
      <c r="A234" s="23" t="s">
        <v>188</v>
      </c>
      <c r="B234" s="24">
        <f>SUM(B235:B241)</f>
        <v>1475000000</v>
      </c>
      <c r="C234" s="25"/>
      <c r="D234" s="26"/>
      <c r="E234" s="24">
        <f>SUM(E235:E241)</f>
        <v>40010600</v>
      </c>
      <c r="F234" s="24">
        <f>SUM(F235:F241)</f>
        <v>1434989400</v>
      </c>
      <c r="G234" s="27">
        <f>AVERAGE(G235:G240)</f>
        <v>100</v>
      </c>
      <c r="H234" s="16"/>
      <c r="I234" s="16"/>
    </row>
    <row r="235" spans="1:14" ht="24" x14ac:dyDescent="0.25">
      <c r="A235" s="28" t="s">
        <v>189</v>
      </c>
      <c r="B235" s="29">
        <v>15000000</v>
      </c>
      <c r="C235" s="28" t="s">
        <v>111</v>
      </c>
      <c r="D235" s="29">
        <v>14800000</v>
      </c>
      <c r="E235" s="29">
        <f>B235-F235</f>
        <v>200000</v>
      </c>
      <c r="F235" s="29">
        <v>14800000</v>
      </c>
      <c r="G235" s="30">
        <v>100</v>
      </c>
      <c r="H235" s="22"/>
      <c r="I235" s="16"/>
    </row>
    <row r="236" spans="1:14" ht="24" x14ac:dyDescent="0.25">
      <c r="A236" s="28" t="s">
        <v>190</v>
      </c>
      <c r="B236" s="29">
        <v>200000000</v>
      </c>
      <c r="C236" s="28" t="s">
        <v>104</v>
      </c>
      <c r="D236" s="29">
        <v>199067000</v>
      </c>
      <c r="E236" s="29">
        <f>B236-F236</f>
        <v>933000</v>
      </c>
      <c r="F236" s="29">
        <v>199067000</v>
      </c>
      <c r="G236" s="30">
        <v>100</v>
      </c>
      <c r="H236" s="22"/>
      <c r="I236" s="16"/>
    </row>
    <row r="237" spans="1:14" ht="24" x14ac:dyDescent="0.25">
      <c r="A237" s="28" t="s">
        <v>191</v>
      </c>
      <c r="B237" s="29">
        <v>40000000</v>
      </c>
      <c r="C237" s="28" t="s">
        <v>111</v>
      </c>
      <c r="D237" s="29">
        <v>39571500</v>
      </c>
      <c r="E237" s="29">
        <f>B237-F237</f>
        <v>428500</v>
      </c>
      <c r="F237" s="29">
        <v>39571500</v>
      </c>
      <c r="G237" s="30">
        <f>G238</f>
        <v>100</v>
      </c>
      <c r="H237" s="22"/>
      <c r="I237" s="16"/>
    </row>
    <row r="238" spans="1:14" ht="24" x14ac:dyDescent="0.25">
      <c r="A238" s="28" t="s">
        <v>192</v>
      </c>
      <c r="B238" s="29">
        <v>550000000</v>
      </c>
      <c r="C238" s="28" t="s">
        <v>104</v>
      </c>
      <c r="D238" s="29">
        <v>538359000</v>
      </c>
      <c r="E238" s="29">
        <f>B238-F238</f>
        <v>11641000</v>
      </c>
      <c r="F238" s="29">
        <f>161507700+94212825+282638475</f>
        <v>538359000</v>
      </c>
      <c r="G238" s="30">
        <v>100</v>
      </c>
      <c r="H238" s="22"/>
      <c r="I238" s="16"/>
    </row>
    <row r="239" spans="1:14" ht="24" x14ac:dyDescent="0.25">
      <c r="A239" s="28" t="s">
        <v>193</v>
      </c>
      <c r="B239" s="29">
        <v>45000000</v>
      </c>
      <c r="C239" s="28" t="s">
        <v>111</v>
      </c>
      <c r="D239" s="29">
        <v>44455500</v>
      </c>
      <c r="E239" s="29">
        <f>B239-F239</f>
        <v>544500</v>
      </c>
      <c r="F239" s="29">
        <v>44455500</v>
      </c>
      <c r="G239" s="30">
        <f>G240</f>
        <v>100</v>
      </c>
      <c r="H239" s="22"/>
      <c r="I239" s="16"/>
    </row>
    <row r="240" spans="1:14" ht="24" x14ac:dyDescent="0.25">
      <c r="A240" s="28" t="s">
        <v>194</v>
      </c>
      <c r="B240" s="29">
        <v>600000000</v>
      </c>
      <c r="C240" s="28" t="s">
        <v>104</v>
      </c>
      <c r="D240" s="29">
        <v>584748000</v>
      </c>
      <c r="E240" s="29">
        <f>B240-F240</f>
        <v>15252000</v>
      </c>
      <c r="F240" s="29">
        <f>175424400+409323600</f>
        <v>584748000</v>
      </c>
      <c r="G240" s="30">
        <v>100</v>
      </c>
      <c r="H240" s="22"/>
      <c r="I240" s="16"/>
    </row>
    <row r="241" spans="1:9" x14ac:dyDescent="0.25">
      <c r="A241" s="28" t="s">
        <v>84</v>
      </c>
      <c r="B241" s="29">
        <f>50000000-25000000</f>
        <v>25000000</v>
      </c>
      <c r="C241" s="28" t="s">
        <v>15</v>
      </c>
      <c r="D241" s="29">
        <f>F241</f>
        <v>13988400</v>
      </c>
      <c r="E241" s="29">
        <f>B241-F241</f>
        <v>11011600</v>
      </c>
      <c r="F241" s="29">
        <f>1650000+9414000+2924400</f>
        <v>13988400</v>
      </c>
      <c r="G241" s="30">
        <f>F241/B241*100</f>
        <v>55.953600000000002</v>
      </c>
      <c r="H241" s="22"/>
      <c r="I241" s="16"/>
    </row>
    <row r="242" spans="1:9" ht="24" x14ac:dyDescent="0.25">
      <c r="A242" s="23" t="s">
        <v>195</v>
      </c>
      <c r="B242" s="24">
        <f>SUM(B243:B249)</f>
        <v>508380000</v>
      </c>
      <c r="C242" s="25"/>
      <c r="D242" s="26"/>
      <c r="E242" s="24">
        <f>SUM(E243:E249)</f>
        <v>6312100</v>
      </c>
      <c r="F242" s="24">
        <f>SUM(F243:F249)</f>
        <v>502067900</v>
      </c>
      <c r="G242" s="27">
        <f>AVERAGE(G243:G249)</f>
        <v>99.314877430262044</v>
      </c>
      <c r="H242" s="16"/>
      <c r="I242" s="16"/>
    </row>
    <row r="243" spans="1:9" ht="24" x14ac:dyDescent="0.25">
      <c r="A243" s="28" t="s">
        <v>196</v>
      </c>
      <c r="B243" s="29">
        <v>10000000</v>
      </c>
      <c r="C243" s="28" t="s">
        <v>111</v>
      </c>
      <c r="D243" s="29">
        <v>9600000</v>
      </c>
      <c r="E243" s="29">
        <f>B243-F243</f>
        <v>400000</v>
      </c>
      <c r="F243" s="29">
        <v>9600000</v>
      </c>
      <c r="G243" s="30">
        <v>100</v>
      </c>
      <c r="H243" s="22"/>
      <c r="I243" s="16"/>
    </row>
    <row r="244" spans="1:9" ht="24" x14ac:dyDescent="0.25">
      <c r="A244" s="28" t="s">
        <v>197</v>
      </c>
      <c r="B244" s="29">
        <v>10000000</v>
      </c>
      <c r="C244" s="28" t="s">
        <v>111</v>
      </c>
      <c r="D244" s="29">
        <v>9800000</v>
      </c>
      <c r="E244" s="29">
        <f>B244-F244</f>
        <v>200000</v>
      </c>
      <c r="F244" s="29">
        <v>9800000</v>
      </c>
      <c r="G244" s="30">
        <v>100</v>
      </c>
      <c r="H244" s="22"/>
      <c r="I244" s="16"/>
    </row>
    <row r="245" spans="1:9" ht="24" x14ac:dyDescent="0.25">
      <c r="A245" s="28" t="s">
        <v>198</v>
      </c>
      <c r="B245" s="29">
        <v>150000000</v>
      </c>
      <c r="C245" s="28" t="s">
        <v>104</v>
      </c>
      <c r="D245" s="29">
        <v>147989000</v>
      </c>
      <c r="E245" s="29">
        <f>B245-F245</f>
        <v>2011000</v>
      </c>
      <c r="F245" s="29">
        <v>147989000</v>
      </c>
      <c r="G245" s="30">
        <v>100</v>
      </c>
      <c r="H245" s="22"/>
      <c r="I245" s="16"/>
    </row>
    <row r="246" spans="1:9" ht="24" x14ac:dyDescent="0.25">
      <c r="A246" s="28" t="s">
        <v>199</v>
      </c>
      <c r="B246" s="29">
        <v>15000000</v>
      </c>
      <c r="C246" s="28" t="s">
        <v>111</v>
      </c>
      <c r="D246" s="29">
        <v>14600000</v>
      </c>
      <c r="E246" s="29">
        <f>B246-F246</f>
        <v>400000</v>
      </c>
      <c r="F246" s="29">
        <v>14600000</v>
      </c>
      <c r="G246" s="30">
        <v>100</v>
      </c>
      <c r="H246" s="22"/>
      <c r="I246" s="16"/>
    </row>
    <row r="247" spans="1:9" ht="24" x14ac:dyDescent="0.25">
      <c r="A247" s="28" t="s">
        <v>200</v>
      </c>
      <c r="B247" s="29">
        <v>20000000</v>
      </c>
      <c r="C247" s="28" t="s">
        <v>111</v>
      </c>
      <c r="D247" s="29">
        <v>19758000</v>
      </c>
      <c r="E247" s="29">
        <f>B247-F247</f>
        <v>242000</v>
      </c>
      <c r="F247" s="29">
        <v>19758000</v>
      </c>
      <c r="G247" s="30">
        <v>100</v>
      </c>
      <c r="H247" s="22"/>
      <c r="I247" s="16"/>
    </row>
    <row r="248" spans="1:9" ht="24" x14ac:dyDescent="0.25">
      <c r="A248" s="28" t="s">
        <v>201</v>
      </c>
      <c r="B248" s="29">
        <v>300000000</v>
      </c>
      <c r="C248" s="28" t="s">
        <v>104</v>
      </c>
      <c r="D248" s="29">
        <v>297103000</v>
      </c>
      <c r="E248" s="29">
        <f>B248-F248</f>
        <v>2897000</v>
      </c>
      <c r="F248" s="29">
        <v>297103000</v>
      </c>
      <c r="G248" s="30">
        <v>100</v>
      </c>
      <c r="H248" s="22"/>
      <c r="I248" s="16"/>
    </row>
    <row r="249" spans="1:9" x14ac:dyDescent="0.25">
      <c r="A249" s="28" t="s">
        <v>84</v>
      </c>
      <c r="B249" s="29">
        <f>6760000-3380000</f>
        <v>3380000</v>
      </c>
      <c r="C249" s="28" t="s">
        <v>15</v>
      </c>
      <c r="D249" s="29">
        <f>F249</f>
        <v>3217900</v>
      </c>
      <c r="E249" s="29">
        <f>B249-F249</f>
        <v>162100</v>
      </c>
      <c r="F249" s="29">
        <f>1375000+1500000+342900</f>
        <v>3217900</v>
      </c>
      <c r="G249" s="30">
        <f>F249/B249*100</f>
        <v>95.204142011834307</v>
      </c>
      <c r="H249" s="22"/>
      <c r="I249" s="16"/>
    </row>
    <row r="250" spans="1:9" ht="24" x14ac:dyDescent="0.25">
      <c r="A250" s="23" t="s">
        <v>202</v>
      </c>
      <c r="B250" s="24">
        <f>SUM(B251:B261)</f>
        <v>1511690000</v>
      </c>
      <c r="C250" s="25"/>
      <c r="D250" s="26"/>
      <c r="E250" s="24">
        <f>SUM(E251:E261)</f>
        <v>54632900</v>
      </c>
      <c r="F250" s="24">
        <f>SUM(F251:F261)</f>
        <v>1457057100</v>
      </c>
      <c r="G250" s="27">
        <f>AVERAGE(G251:G261)</f>
        <v>98.565607483330254</v>
      </c>
      <c r="H250" s="16"/>
      <c r="I250" s="16"/>
    </row>
    <row r="251" spans="1:9" ht="24" x14ac:dyDescent="0.25">
      <c r="A251" s="28" t="s">
        <v>203</v>
      </c>
      <c r="B251" s="29">
        <v>15000000</v>
      </c>
      <c r="C251" s="28" t="s">
        <v>111</v>
      </c>
      <c r="D251" s="29">
        <v>14850000</v>
      </c>
      <c r="E251" s="29">
        <f>B251-F251</f>
        <v>150000</v>
      </c>
      <c r="F251" s="29">
        <v>14850000</v>
      </c>
      <c r="G251" s="30">
        <v>100</v>
      </c>
      <c r="H251" s="22"/>
      <c r="I251" s="16"/>
    </row>
    <row r="252" spans="1:9" ht="24" x14ac:dyDescent="0.25">
      <c r="A252" s="28" t="s">
        <v>204</v>
      </c>
      <c r="B252" s="29">
        <v>200000000</v>
      </c>
      <c r="C252" s="28" t="s">
        <v>104</v>
      </c>
      <c r="D252" s="29">
        <v>197970000</v>
      </c>
      <c r="E252" s="29">
        <f>B252-F252</f>
        <v>2030000</v>
      </c>
      <c r="F252" s="29">
        <v>197970000</v>
      </c>
      <c r="G252" s="30">
        <v>100</v>
      </c>
      <c r="H252" s="22"/>
      <c r="I252" s="16"/>
    </row>
    <row r="253" spans="1:9" ht="24" x14ac:dyDescent="0.25">
      <c r="A253" s="28" t="s">
        <v>205</v>
      </c>
      <c r="B253" s="29">
        <v>15000000</v>
      </c>
      <c r="C253" s="28" t="s">
        <v>111</v>
      </c>
      <c r="D253" s="29">
        <v>14850000</v>
      </c>
      <c r="E253" s="29">
        <f>B253-F253</f>
        <v>150000</v>
      </c>
      <c r="F253" s="29">
        <v>14850000</v>
      </c>
      <c r="G253" s="30">
        <v>100</v>
      </c>
      <c r="H253" s="22"/>
      <c r="I253" s="16"/>
    </row>
    <row r="254" spans="1:9" ht="24" x14ac:dyDescent="0.25">
      <c r="A254" s="28" t="s">
        <v>206</v>
      </c>
      <c r="B254" s="29">
        <v>200000000</v>
      </c>
      <c r="C254" s="28" t="s">
        <v>104</v>
      </c>
      <c r="D254" s="29">
        <v>197599000</v>
      </c>
      <c r="E254" s="29">
        <f>B254-F254</f>
        <v>2401000</v>
      </c>
      <c r="F254" s="29">
        <v>197599000</v>
      </c>
      <c r="G254" s="30">
        <v>100</v>
      </c>
      <c r="H254" s="22"/>
      <c r="I254" s="16"/>
    </row>
    <row r="255" spans="1:9" ht="24" x14ac:dyDescent="0.25">
      <c r="A255" s="28" t="s">
        <v>207</v>
      </c>
      <c r="B255" s="29">
        <v>10000000</v>
      </c>
      <c r="C255" s="28" t="s">
        <v>111</v>
      </c>
      <c r="D255" s="29">
        <v>9700000</v>
      </c>
      <c r="E255" s="29">
        <f>B255-F255</f>
        <v>300000</v>
      </c>
      <c r="F255" s="29">
        <v>9700000</v>
      </c>
      <c r="G255" s="30">
        <v>100</v>
      </c>
      <c r="H255" s="22"/>
      <c r="I255" s="16"/>
    </row>
    <row r="256" spans="1:9" ht="24" x14ac:dyDescent="0.25">
      <c r="A256" s="28" t="s">
        <v>208</v>
      </c>
      <c r="B256" s="29">
        <v>10000000</v>
      </c>
      <c r="C256" s="28" t="s">
        <v>111</v>
      </c>
      <c r="D256" s="29">
        <v>9850000</v>
      </c>
      <c r="E256" s="29">
        <f>B256-F256</f>
        <v>150000</v>
      </c>
      <c r="F256" s="29">
        <v>9850000</v>
      </c>
      <c r="G256" s="30">
        <v>100</v>
      </c>
      <c r="H256" s="22"/>
      <c r="I256" s="16"/>
    </row>
    <row r="257" spans="1:14" ht="24" x14ac:dyDescent="0.25">
      <c r="A257" s="28" t="s">
        <v>209</v>
      </c>
      <c r="B257" s="29">
        <v>150000000</v>
      </c>
      <c r="C257" s="28" t="s">
        <v>104</v>
      </c>
      <c r="D257" s="29">
        <v>149199000</v>
      </c>
      <c r="E257" s="29">
        <f>B257-F257</f>
        <v>801000</v>
      </c>
      <c r="F257" s="29">
        <v>149199000</v>
      </c>
      <c r="G257" s="30">
        <v>100</v>
      </c>
      <c r="H257" s="22"/>
      <c r="I257" s="16"/>
    </row>
    <row r="258" spans="1:14" s="32" customFormat="1" ht="24" x14ac:dyDescent="0.25">
      <c r="A258" s="28" t="s">
        <v>210</v>
      </c>
      <c r="B258" s="29">
        <v>50000000</v>
      </c>
      <c r="C258" s="28" t="s">
        <v>111</v>
      </c>
      <c r="D258" s="29">
        <v>49450500</v>
      </c>
      <c r="E258" s="29">
        <f>B258-F258</f>
        <v>549500</v>
      </c>
      <c r="F258" s="29">
        <v>49450500</v>
      </c>
      <c r="G258" s="30">
        <f>G259</f>
        <v>100</v>
      </c>
      <c r="H258" s="22"/>
      <c r="I258" s="16"/>
      <c r="J258" s="4"/>
      <c r="K258" s="4"/>
      <c r="L258" s="4"/>
      <c r="M258" s="4"/>
      <c r="N258" s="4"/>
    </row>
    <row r="259" spans="1:14" ht="24" x14ac:dyDescent="0.25">
      <c r="A259" s="28" t="s">
        <v>211</v>
      </c>
      <c r="B259" s="29">
        <v>700000000</v>
      </c>
      <c r="C259" s="28" t="s">
        <v>104</v>
      </c>
      <c r="D259" s="29">
        <v>676514000</v>
      </c>
      <c r="E259" s="29">
        <f>B259-F259</f>
        <v>23486000</v>
      </c>
      <c r="F259" s="29">
        <v>676514000</v>
      </c>
      <c r="G259" s="30">
        <v>100</v>
      </c>
      <c r="H259" s="22"/>
      <c r="I259" s="16"/>
    </row>
    <row r="260" spans="1:14" x14ac:dyDescent="0.25">
      <c r="A260" s="28" t="s">
        <v>212</v>
      </c>
      <c r="B260" s="29">
        <f>210310000-48620000-9400000</f>
        <v>152290000</v>
      </c>
      <c r="C260" s="28" t="s">
        <v>15</v>
      </c>
      <c r="D260" s="29">
        <f>F260</f>
        <v>128261200</v>
      </c>
      <c r="E260" s="29">
        <f>B260-F260</f>
        <v>24028800</v>
      </c>
      <c r="F260" s="29">
        <v>128261200</v>
      </c>
      <c r="G260" s="30">
        <f>F260/B260*100</f>
        <v>84.221682316632737</v>
      </c>
      <c r="H260" s="22"/>
      <c r="I260" s="16"/>
    </row>
    <row r="261" spans="1:14" ht="24" x14ac:dyDescent="0.25">
      <c r="A261" s="28" t="s">
        <v>213</v>
      </c>
      <c r="B261" s="29">
        <v>9400000</v>
      </c>
      <c r="C261" s="28" t="s">
        <v>56</v>
      </c>
      <c r="D261" s="29">
        <v>8813400</v>
      </c>
      <c r="E261" s="29">
        <f>B261-F261</f>
        <v>586600</v>
      </c>
      <c r="F261" s="29">
        <v>8813400</v>
      </c>
      <c r="G261" s="30">
        <v>100</v>
      </c>
      <c r="H261" s="22"/>
      <c r="I261" s="16"/>
      <c r="J261" s="32"/>
      <c r="K261" s="32"/>
      <c r="L261" s="32"/>
      <c r="M261" s="32"/>
      <c r="N261" s="32"/>
    </row>
    <row r="262" spans="1:14" ht="24" x14ac:dyDescent="0.25">
      <c r="A262" s="12" t="s">
        <v>214</v>
      </c>
      <c r="B262" s="13">
        <f>SUM(B263)</f>
        <v>2663465500</v>
      </c>
      <c r="C262" s="12"/>
      <c r="D262" s="13"/>
      <c r="E262" s="13">
        <f>SUM(E263)</f>
        <v>115021441</v>
      </c>
      <c r="F262" s="13">
        <f>SUM(F263)</f>
        <v>2548444059</v>
      </c>
      <c r="G262" s="14">
        <f>G263</f>
        <v>100</v>
      </c>
      <c r="H262" s="22"/>
      <c r="I262" s="16"/>
    </row>
    <row r="263" spans="1:14" ht="24" x14ac:dyDescent="0.25">
      <c r="A263" s="17" t="s">
        <v>215</v>
      </c>
      <c r="B263" s="18">
        <f>SUM(B264,B275)</f>
        <v>2663465500</v>
      </c>
      <c r="C263" s="19"/>
      <c r="D263" s="20"/>
      <c r="E263" s="18">
        <f>SUM(E264,E275)</f>
        <v>115021441</v>
      </c>
      <c r="F263" s="18">
        <f>SUM(F264,F275)</f>
        <v>2548444059</v>
      </c>
      <c r="G263" s="21">
        <f>AVERAGE(G264)</f>
        <v>100</v>
      </c>
      <c r="H263" s="22"/>
      <c r="I263" s="16"/>
    </row>
    <row r="264" spans="1:14" x14ac:dyDescent="0.25">
      <c r="A264" s="23" t="s">
        <v>216</v>
      </c>
      <c r="B264" s="24">
        <f>SUM(B265:B274)</f>
        <v>2513000000</v>
      </c>
      <c r="C264" s="25"/>
      <c r="D264" s="26"/>
      <c r="E264" s="24">
        <f>SUM(E265:E274)</f>
        <v>65404299</v>
      </c>
      <c r="F264" s="24">
        <f>SUM(F265:F274)</f>
        <v>2447595701</v>
      </c>
      <c r="G264" s="27">
        <f>AVERAGE(G265:G269,G271:G274)</f>
        <v>100</v>
      </c>
      <c r="H264" s="22"/>
      <c r="I264" s="16"/>
    </row>
    <row r="265" spans="1:14" ht="24" x14ac:dyDescent="0.25">
      <c r="A265" s="28" t="s">
        <v>217</v>
      </c>
      <c r="B265" s="29">
        <v>575000000</v>
      </c>
      <c r="C265" s="28" t="s">
        <v>104</v>
      </c>
      <c r="D265" s="29">
        <v>575000000</v>
      </c>
      <c r="E265" s="29">
        <f>B265-F265</f>
        <v>0</v>
      </c>
      <c r="F265" s="29">
        <f>258750000+143750000+172500000</f>
        <v>575000000</v>
      </c>
      <c r="G265" s="30">
        <v>100</v>
      </c>
      <c r="H265" s="22"/>
      <c r="I265" s="16"/>
    </row>
    <row r="266" spans="1:14" ht="24" x14ac:dyDescent="0.25">
      <c r="A266" s="28" t="s">
        <v>218</v>
      </c>
      <c r="B266" s="29">
        <v>575000000</v>
      </c>
      <c r="C266" s="28" t="s">
        <v>104</v>
      </c>
      <c r="D266" s="29">
        <v>575000000</v>
      </c>
      <c r="E266" s="29">
        <f>B266-F266</f>
        <v>0</v>
      </c>
      <c r="F266" s="29">
        <f>402500000+172500000</f>
        <v>575000000</v>
      </c>
      <c r="G266" s="30">
        <v>100</v>
      </c>
      <c r="H266" s="22"/>
      <c r="I266" s="16"/>
    </row>
    <row r="267" spans="1:14" ht="24" x14ac:dyDescent="0.25">
      <c r="A267" s="28" t="s">
        <v>219</v>
      </c>
      <c r="B267" s="29">
        <v>510000000</v>
      </c>
      <c r="C267" s="28" t="s">
        <v>104</v>
      </c>
      <c r="D267" s="29">
        <v>510000000</v>
      </c>
      <c r="E267" s="29">
        <f>B267-F267</f>
        <v>0</v>
      </c>
      <c r="F267" s="29">
        <f>357000000+153000000</f>
        <v>510000000</v>
      </c>
      <c r="G267" s="30">
        <v>100</v>
      </c>
      <c r="H267" s="22"/>
      <c r="I267" s="16"/>
    </row>
    <row r="268" spans="1:14" ht="24" x14ac:dyDescent="0.25">
      <c r="A268" s="28" t="s">
        <v>220</v>
      </c>
      <c r="B268" s="29">
        <v>510000000</v>
      </c>
      <c r="C268" s="28" t="s">
        <v>104</v>
      </c>
      <c r="D268" s="29">
        <v>510000000</v>
      </c>
      <c r="E268" s="29">
        <f>B268-F268</f>
        <v>0</v>
      </c>
      <c r="F268" s="29">
        <f>357000000+153000000</f>
        <v>510000000</v>
      </c>
      <c r="G268" s="30">
        <v>100</v>
      </c>
      <c r="H268" s="22"/>
      <c r="I268" s="16"/>
    </row>
    <row r="269" spans="1:14" ht="36" x14ac:dyDescent="0.25">
      <c r="A269" s="28" t="s">
        <v>221</v>
      </c>
      <c r="B269" s="29">
        <v>130000000</v>
      </c>
      <c r="C269" s="28" t="s">
        <v>56</v>
      </c>
      <c r="D269" s="29">
        <f>90860001+38940000</f>
        <v>129800001</v>
      </c>
      <c r="E269" s="29">
        <f>B269-F269</f>
        <v>199999</v>
      </c>
      <c r="F269" s="29">
        <f>90860001+38940000</f>
        <v>129800001</v>
      </c>
      <c r="G269" s="30">
        <v>100</v>
      </c>
      <c r="H269" s="22"/>
      <c r="I269" s="16"/>
    </row>
    <row r="270" spans="1:14" x14ac:dyDescent="0.25">
      <c r="A270" s="28" t="s">
        <v>222</v>
      </c>
      <c r="B270" s="29">
        <f>343000000-65000000-65000000-5200000-3600000-17613000-14100000</f>
        <v>172487000</v>
      </c>
      <c r="C270" s="28" t="s">
        <v>15</v>
      </c>
      <c r="D270" s="29">
        <f>F270</f>
        <v>108586540</v>
      </c>
      <c r="E270" s="29">
        <f>B270-F270</f>
        <v>63900460</v>
      </c>
      <c r="F270" s="29">
        <f>69360000+12560000+2506200+17949500+6210840</f>
        <v>108586540</v>
      </c>
      <c r="G270" s="30">
        <f>F270/B270*100</f>
        <v>62.953463159542459</v>
      </c>
      <c r="H270" s="22"/>
      <c r="I270" s="16"/>
    </row>
    <row r="271" spans="1:14" x14ac:dyDescent="0.25">
      <c r="A271" s="28" t="s">
        <v>223</v>
      </c>
      <c r="B271" s="29">
        <v>5200000</v>
      </c>
      <c r="C271" s="28" t="s">
        <v>56</v>
      </c>
      <c r="D271" s="29">
        <v>4939500</v>
      </c>
      <c r="E271" s="29">
        <f>B271-F271</f>
        <v>260500</v>
      </c>
      <c r="F271" s="29">
        <v>4939500</v>
      </c>
      <c r="G271" s="30">
        <v>100</v>
      </c>
      <c r="H271" s="22"/>
      <c r="I271" s="16"/>
    </row>
    <row r="272" spans="1:14" ht="48" x14ac:dyDescent="0.25">
      <c r="A272" s="28" t="s">
        <v>224</v>
      </c>
      <c r="B272" s="29">
        <v>3600000</v>
      </c>
      <c r="C272" s="28" t="s">
        <v>56</v>
      </c>
      <c r="D272" s="29">
        <v>3436560</v>
      </c>
      <c r="E272" s="29">
        <f>B272-F272</f>
        <v>163440</v>
      </c>
      <c r="F272" s="29">
        <v>3436560</v>
      </c>
      <c r="G272" s="30">
        <v>100</v>
      </c>
      <c r="H272" s="22"/>
      <c r="I272" s="16"/>
    </row>
    <row r="273" spans="1:14" ht="24" x14ac:dyDescent="0.25">
      <c r="A273" s="28" t="s">
        <v>225</v>
      </c>
      <c r="B273" s="29">
        <v>17613000</v>
      </c>
      <c r="C273" s="28" t="s">
        <v>56</v>
      </c>
      <c r="D273" s="29">
        <v>17613000</v>
      </c>
      <c r="E273" s="29">
        <f>B273-F273</f>
        <v>0</v>
      </c>
      <c r="F273" s="29">
        <v>17613000</v>
      </c>
      <c r="G273" s="30">
        <v>100</v>
      </c>
      <c r="H273" s="22"/>
      <c r="I273" s="16"/>
    </row>
    <row r="274" spans="1:14" ht="24" x14ac:dyDescent="0.25">
      <c r="A274" s="28" t="s">
        <v>226</v>
      </c>
      <c r="B274" s="29">
        <v>14100000</v>
      </c>
      <c r="C274" s="28" t="s">
        <v>56</v>
      </c>
      <c r="D274" s="29">
        <v>13220100</v>
      </c>
      <c r="E274" s="29">
        <f>B274-F274</f>
        <v>879900</v>
      </c>
      <c r="F274" s="29">
        <v>13220100</v>
      </c>
      <c r="G274" s="30">
        <v>100</v>
      </c>
      <c r="H274" s="22"/>
      <c r="I274" s="16"/>
    </row>
    <row r="275" spans="1:14" x14ac:dyDescent="0.25">
      <c r="A275" s="23" t="s">
        <v>227</v>
      </c>
      <c r="B275" s="24">
        <f>SUM(B276)</f>
        <v>150465500</v>
      </c>
      <c r="C275" s="25"/>
      <c r="D275" s="26"/>
      <c r="E275" s="24">
        <f>SUM(E276)</f>
        <v>49617142</v>
      </c>
      <c r="F275" s="24">
        <f>SUM(F276)</f>
        <v>100848358</v>
      </c>
      <c r="G275" s="27">
        <f>G276</f>
        <v>85</v>
      </c>
      <c r="H275" s="22"/>
      <c r="I275" s="16"/>
    </row>
    <row r="276" spans="1:14" x14ac:dyDescent="0.25">
      <c r="A276" s="28" t="s">
        <v>14</v>
      </c>
      <c r="B276" s="29">
        <v>150465500</v>
      </c>
      <c r="C276" s="28" t="s">
        <v>15</v>
      </c>
      <c r="D276" s="29">
        <f>F276</f>
        <v>100848358</v>
      </c>
      <c r="E276" s="29">
        <f>B276-F276</f>
        <v>49617142</v>
      </c>
      <c r="F276" s="29">
        <v>100848358</v>
      </c>
      <c r="G276" s="30">
        <v>85</v>
      </c>
      <c r="H276" s="22"/>
      <c r="I276" s="16"/>
    </row>
    <row r="277" spans="1:14" ht="24" x14ac:dyDescent="0.25">
      <c r="A277" s="12" t="s">
        <v>228</v>
      </c>
      <c r="B277" s="13">
        <f>SUM(B278)</f>
        <v>8576897900</v>
      </c>
      <c r="C277" s="12"/>
      <c r="D277" s="13"/>
      <c r="E277" s="13">
        <f>SUM(E278)</f>
        <v>159574694</v>
      </c>
      <c r="F277" s="13">
        <f>SUM(F278)</f>
        <v>8417323206</v>
      </c>
      <c r="G277" s="14">
        <f>G278</f>
        <v>99.789903916691742</v>
      </c>
      <c r="H277" s="22"/>
      <c r="I277" s="16"/>
    </row>
    <row r="278" spans="1:14" ht="24" x14ac:dyDescent="0.25">
      <c r="A278" s="17" t="s">
        <v>229</v>
      </c>
      <c r="B278" s="18">
        <f>SUM(B279,B285,B303)</f>
        <v>8576897900</v>
      </c>
      <c r="C278" s="19"/>
      <c r="D278" s="20"/>
      <c r="E278" s="18">
        <f>SUM(E279,E285,E303)</f>
        <v>159574694</v>
      </c>
      <c r="F278" s="18">
        <f>SUM(F279,F285,F303)</f>
        <v>8417323206</v>
      </c>
      <c r="G278" s="21">
        <f>AVERAGE(G279,G285,G303)</f>
        <v>99.789903916691742</v>
      </c>
      <c r="H278" s="22"/>
      <c r="I278" s="16"/>
    </row>
    <row r="279" spans="1:14" x14ac:dyDescent="0.25">
      <c r="A279" s="23" t="s">
        <v>230</v>
      </c>
      <c r="B279" s="24">
        <f>SUM(B280:B284)</f>
        <v>1927103250</v>
      </c>
      <c r="C279" s="25"/>
      <c r="D279" s="26"/>
      <c r="E279" s="24">
        <f>SUM(E280:E284)</f>
        <v>39685052</v>
      </c>
      <c r="F279" s="24">
        <f>SUM(F280:F284)</f>
        <v>1887418198</v>
      </c>
      <c r="G279" s="27">
        <f>AVERAGE(G280:G283)</f>
        <v>100</v>
      </c>
      <c r="H279" s="16"/>
      <c r="I279" s="16"/>
    </row>
    <row r="280" spans="1:14" ht="24" x14ac:dyDescent="0.25">
      <c r="A280" s="28" t="s">
        <v>231</v>
      </c>
      <c r="B280" s="29">
        <v>50000000</v>
      </c>
      <c r="C280" s="28" t="s">
        <v>111</v>
      </c>
      <c r="D280" s="29">
        <v>49117000</v>
      </c>
      <c r="E280" s="29">
        <f>B280-F280</f>
        <v>883000</v>
      </c>
      <c r="F280" s="29">
        <v>49117000</v>
      </c>
      <c r="G280" s="30">
        <v>100</v>
      </c>
      <c r="H280" s="22"/>
      <c r="I280" s="16"/>
    </row>
    <row r="281" spans="1:14" ht="24" x14ac:dyDescent="0.25">
      <c r="A281" s="28" t="s">
        <v>232</v>
      </c>
      <c r="B281" s="29">
        <v>80000000</v>
      </c>
      <c r="C281" s="28" t="s">
        <v>111</v>
      </c>
      <c r="D281" s="29">
        <v>78710100</v>
      </c>
      <c r="E281" s="29">
        <f>B281-F281</f>
        <v>1289900</v>
      </c>
      <c r="F281" s="29">
        <v>78710100</v>
      </c>
      <c r="G281" s="30">
        <v>100</v>
      </c>
      <c r="H281" s="22"/>
      <c r="I281" s="16"/>
    </row>
    <row r="282" spans="1:14" ht="24" x14ac:dyDescent="0.25">
      <c r="A282" s="28" t="s">
        <v>233</v>
      </c>
      <c r="B282" s="29">
        <v>80000000</v>
      </c>
      <c r="C282" s="28" t="s">
        <v>111</v>
      </c>
      <c r="D282" s="29">
        <v>79631400</v>
      </c>
      <c r="E282" s="29">
        <f>B282-F282</f>
        <v>368600</v>
      </c>
      <c r="F282" s="29">
        <v>79631400</v>
      </c>
      <c r="G282" s="30">
        <v>100</v>
      </c>
      <c r="H282" s="22"/>
      <c r="I282" s="16"/>
    </row>
    <row r="283" spans="1:14" ht="24" x14ac:dyDescent="0.25">
      <c r="A283" s="28" t="s">
        <v>234</v>
      </c>
      <c r="B283" s="29">
        <v>1666000000</v>
      </c>
      <c r="C283" s="28" t="s">
        <v>104</v>
      </c>
      <c r="D283" s="29">
        <v>1637303000</v>
      </c>
      <c r="E283" s="29">
        <f>B283-F283</f>
        <v>28697000</v>
      </c>
      <c r="F283" s="29">
        <f>491190900+1146112100</f>
        <v>1637303000</v>
      </c>
      <c r="G283" s="30">
        <v>100</v>
      </c>
      <c r="H283" s="22"/>
      <c r="I283" s="16"/>
    </row>
    <row r="284" spans="1:14" x14ac:dyDescent="0.25">
      <c r="A284" s="28" t="s">
        <v>235</v>
      </c>
      <c r="B284" s="29">
        <f>74000000-22896750</f>
        <v>51103250</v>
      </c>
      <c r="C284" s="28" t="s">
        <v>15</v>
      </c>
      <c r="D284" s="29">
        <f>F284</f>
        <v>42656698</v>
      </c>
      <c r="E284" s="29">
        <f>B284-F284</f>
        <v>8446552</v>
      </c>
      <c r="F284" s="29">
        <f>9688700+2120000+1360000+21657998+7830000</f>
        <v>42656698</v>
      </c>
      <c r="G284" s="30">
        <f>F284/B284*100</f>
        <v>83.471595250791282</v>
      </c>
      <c r="H284" s="22"/>
      <c r="I284" s="16"/>
    </row>
    <row r="285" spans="1:14" ht="24" x14ac:dyDescent="0.25">
      <c r="A285" s="23" t="s">
        <v>236</v>
      </c>
      <c r="B285" s="24">
        <f>SUM(B286:B302)</f>
        <v>6476073650</v>
      </c>
      <c r="C285" s="25"/>
      <c r="D285" s="26"/>
      <c r="E285" s="24">
        <f>SUM(E286:E302)</f>
        <v>75256598</v>
      </c>
      <c r="F285" s="24">
        <f>SUM(F286:F302)</f>
        <v>6400817052</v>
      </c>
      <c r="G285" s="27">
        <f>AVERAGE(G286:G302)</f>
        <v>99.369711750075226</v>
      </c>
      <c r="H285" s="16"/>
      <c r="I285" s="16"/>
    </row>
    <row r="286" spans="1:14" ht="24" x14ac:dyDescent="0.25">
      <c r="A286" s="28" t="s">
        <v>237</v>
      </c>
      <c r="B286" s="29">
        <v>490000000</v>
      </c>
      <c r="C286" s="28" t="s">
        <v>104</v>
      </c>
      <c r="D286" s="29">
        <v>490000000</v>
      </c>
      <c r="E286" s="29">
        <f>B286-F286</f>
        <v>0</v>
      </c>
      <c r="F286" s="29">
        <f>343000000+147000000</f>
        <v>490000000</v>
      </c>
      <c r="G286" s="30">
        <v>100</v>
      </c>
      <c r="H286" s="22"/>
      <c r="I286" s="16"/>
    </row>
    <row r="287" spans="1:14" ht="36" x14ac:dyDescent="0.25">
      <c r="A287" s="28" t="s">
        <v>238</v>
      </c>
      <c r="B287" s="29">
        <v>392000000</v>
      </c>
      <c r="C287" s="28" t="s">
        <v>104</v>
      </c>
      <c r="D287" s="29">
        <v>392000000</v>
      </c>
      <c r="E287" s="29">
        <f>B287-F287</f>
        <v>0</v>
      </c>
      <c r="F287" s="29">
        <f>176400000+98000000+117600000</f>
        <v>392000000</v>
      </c>
      <c r="G287" s="30">
        <v>100</v>
      </c>
      <c r="H287" s="22"/>
      <c r="I287" s="16"/>
    </row>
    <row r="288" spans="1:14" s="32" customFormat="1" ht="36" x14ac:dyDescent="0.25">
      <c r="A288" s="28" t="s">
        <v>239</v>
      </c>
      <c r="B288" s="29">
        <v>490000000</v>
      </c>
      <c r="C288" s="28" t="s">
        <v>104</v>
      </c>
      <c r="D288" s="29">
        <v>490000000</v>
      </c>
      <c r="E288" s="29">
        <f>B288-F288</f>
        <v>0</v>
      </c>
      <c r="F288" s="29">
        <f>343000000+147000000</f>
        <v>490000000</v>
      </c>
      <c r="G288" s="30">
        <v>100</v>
      </c>
      <c r="H288" s="22"/>
      <c r="I288" s="16"/>
      <c r="J288" s="4"/>
      <c r="K288" s="4"/>
      <c r="L288" s="4"/>
      <c r="M288" s="4"/>
      <c r="N288" s="4"/>
    </row>
    <row r="289" spans="1:14" ht="36" x14ac:dyDescent="0.25">
      <c r="A289" s="28" t="s">
        <v>240</v>
      </c>
      <c r="B289" s="29">
        <v>490000000</v>
      </c>
      <c r="C289" s="28" t="s">
        <v>104</v>
      </c>
      <c r="D289" s="29">
        <v>490000000</v>
      </c>
      <c r="E289" s="29">
        <f>B289-F289</f>
        <v>0</v>
      </c>
      <c r="F289" s="29">
        <f>220500000+122500000+147000000</f>
        <v>490000000</v>
      </c>
      <c r="G289" s="30">
        <v>100</v>
      </c>
      <c r="H289" s="22"/>
      <c r="I289" s="16"/>
    </row>
    <row r="290" spans="1:14" ht="24" x14ac:dyDescent="0.25">
      <c r="A290" s="28" t="s">
        <v>241</v>
      </c>
      <c r="B290" s="29">
        <v>529200000</v>
      </c>
      <c r="C290" s="28" t="s">
        <v>104</v>
      </c>
      <c r="D290" s="29">
        <v>529200000</v>
      </c>
      <c r="E290" s="29">
        <f>B290-F290</f>
        <v>0</v>
      </c>
      <c r="F290" s="29">
        <f>132300000+238140000+158760000</f>
        <v>529200000</v>
      </c>
      <c r="G290" s="30">
        <v>100</v>
      </c>
      <c r="H290" s="22"/>
      <c r="I290" s="16"/>
    </row>
    <row r="291" spans="1:14" ht="24" x14ac:dyDescent="0.25">
      <c r="A291" s="28" t="s">
        <v>242</v>
      </c>
      <c r="B291" s="29">
        <v>529200000</v>
      </c>
      <c r="C291" s="28" t="s">
        <v>104</v>
      </c>
      <c r="D291" s="29">
        <v>529200000</v>
      </c>
      <c r="E291" s="29">
        <f>B291-F291</f>
        <v>0</v>
      </c>
      <c r="F291" s="29">
        <f>370440000+158760000</f>
        <v>529200000</v>
      </c>
      <c r="G291" s="30">
        <v>100</v>
      </c>
      <c r="H291" s="22"/>
      <c r="I291" s="16"/>
      <c r="J291" s="32"/>
      <c r="K291" s="32"/>
      <c r="L291" s="32"/>
      <c r="M291" s="32"/>
      <c r="N291" s="32"/>
    </row>
    <row r="292" spans="1:14" ht="24" x14ac:dyDescent="0.25">
      <c r="A292" s="28" t="s">
        <v>243</v>
      </c>
      <c r="B292" s="29">
        <v>135000000</v>
      </c>
      <c r="C292" s="28" t="s">
        <v>104</v>
      </c>
      <c r="D292" s="29">
        <v>135000000</v>
      </c>
      <c r="E292" s="29">
        <f>B292-F292</f>
        <v>0</v>
      </c>
      <c r="F292" s="29">
        <v>135000000</v>
      </c>
      <c r="G292" s="30">
        <f>F292/B292*100</f>
        <v>100</v>
      </c>
      <c r="H292" s="22"/>
      <c r="I292" s="16"/>
    </row>
    <row r="293" spans="1:14" ht="24" x14ac:dyDescent="0.25">
      <c r="A293" s="28" t="s">
        <v>244</v>
      </c>
      <c r="B293" s="29">
        <v>135000000</v>
      </c>
      <c r="C293" s="28" t="s">
        <v>104</v>
      </c>
      <c r="D293" s="29">
        <v>135000000</v>
      </c>
      <c r="E293" s="29">
        <f>B293-F293</f>
        <v>0</v>
      </c>
      <c r="F293" s="29">
        <f>67500000+67500000</f>
        <v>135000000</v>
      </c>
      <c r="G293" s="30">
        <f>F293/B293*100</f>
        <v>100</v>
      </c>
      <c r="H293" s="22"/>
      <c r="I293" s="16"/>
    </row>
    <row r="294" spans="1:14" s="32" customFormat="1" ht="24" x14ac:dyDescent="0.25">
      <c r="A294" s="28" t="s">
        <v>245</v>
      </c>
      <c r="B294" s="29">
        <v>135000000</v>
      </c>
      <c r="C294" s="28" t="s">
        <v>104</v>
      </c>
      <c r="D294" s="29">
        <v>135000000</v>
      </c>
      <c r="E294" s="29">
        <f>B294-F294</f>
        <v>0</v>
      </c>
      <c r="F294" s="29">
        <f>67500000+67500000</f>
        <v>135000000</v>
      </c>
      <c r="G294" s="30">
        <f>F294/B294*100</f>
        <v>100</v>
      </c>
      <c r="H294" s="22"/>
      <c r="I294" s="16"/>
      <c r="J294" s="4"/>
      <c r="K294" s="4"/>
      <c r="L294" s="4"/>
      <c r="M294" s="4"/>
      <c r="N294" s="4"/>
    </row>
    <row r="295" spans="1:14" ht="36" x14ac:dyDescent="0.25">
      <c r="A295" s="28" t="s">
        <v>246</v>
      </c>
      <c r="B295" s="29">
        <v>270000000</v>
      </c>
      <c r="C295" s="28" t="s">
        <v>104</v>
      </c>
      <c r="D295" s="29">
        <v>270000000</v>
      </c>
      <c r="E295" s="29">
        <f>B295-F295</f>
        <v>0</v>
      </c>
      <c r="F295" s="29">
        <f>67500000+121500000+81000000</f>
        <v>270000000</v>
      </c>
      <c r="G295" s="30">
        <f>F295/B295*100</f>
        <v>100</v>
      </c>
      <c r="H295" s="22"/>
      <c r="I295" s="16"/>
    </row>
    <row r="296" spans="1:14" ht="36" x14ac:dyDescent="0.25">
      <c r="A296" s="28" t="s">
        <v>247</v>
      </c>
      <c r="B296" s="29">
        <f>270000000</f>
        <v>270000000</v>
      </c>
      <c r="C296" s="28" t="s">
        <v>104</v>
      </c>
      <c r="D296" s="29">
        <v>270000000</v>
      </c>
      <c r="E296" s="29">
        <f>B296-F296</f>
        <v>0</v>
      </c>
      <c r="F296" s="29">
        <f>67500000+121500000+81000000</f>
        <v>270000000</v>
      </c>
      <c r="G296" s="30">
        <f>F296/B296*100</f>
        <v>100</v>
      </c>
      <c r="H296" s="22"/>
      <c r="I296" s="16"/>
    </row>
    <row r="297" spans="1:14" ht="24" x14ac:dyDescent="0.25">
      <c r="A297" s="28" t="s">
        <v>248</v>
      </c>
      <c r="B297" s="29">
        <v>225000000</v>
      </c>
      <c r="C297" s="28" t="s">
        <v>104</v>
      </c>
      <c r="D297" s="29">
        <v>225000000</v>
      </c>
      <c r="E297" s="29">
        <f>B297-F297</f>
        <v>0</v>
      </c>
      <c r="F297" s="29">
        <f>56250000+101250000+67500000</f>
        <v>225000000</v>
      </c>
      <c r="G297" s="30">
        <v>100</v>
      </c>
      <c r="H297" s="22"/>
      <c r="I297" s="16"/>
      <c r="J297" s="32"/>
      <c r="K297" s="32"/>
      <c r="L297" s="32"/>
      <c r="M297" s="32"/>
      <c r="N297" s="32"/>
    </row>
    <row r="298" spans="1:14" ht="60" x14ac:dyDescent="0.25">
      <c r="A298" s="28" t="s">
        <v>249</v>
      </c>
      <c r="B298" s="29">
        <f>175000000+140000000+175000000+210000000+189000000+189000000</f>
        <v>1078000000</v>
      </c>
      <c r="C298" s="28" t="s">
        <v>56</v>
      </c>
      <c r="D298" s="29">
        <v>1062599963</v>
      </c>
      <c r="E298" s="29">
        <f>B298-F298</f>
        <v>15400037</v>
      </c>
      <c r="F298" s="29">
        <v>1062599963</v>
      </c>
      <c r="G298" s="30">
        <v>100</v>
      </c>
      <c r="H298" s="22"/>
      <c r="I298" s="16"/>
    </row>
    <row r="299" spans="1:14" ht="36" x14ac:dyDescent="0.25">
      <c r="A299" s="28" t="s">
        <v>250</v>
      </c>
      <c r="B299" s="29">
        <v>175000000</v>
      </c>
      <c r="C299" s="28" t="s">
        <v>56</v>
      </c>
      <c r="D299" s="29">
        <v>175000000</v>
      </c>
      <c r="E299" s="29">
        <f>B299-F299</f>
        <v>2506000</v>
      </c>
      <c r="F299" s="29">
        <f>43123500+129370500</f>
        <v>172494000</v>
      </c>
      <c r="G299" s="30">
        <v>100</v>
      </c>
      <c r="H299" s="22"/>
      <c r="I299" s="16"/>
    </row>
    <row r="300" spans="1:14" ht="48" x14ac:dyDescent="0.25">
      <c r="A300" s="28" t="s">
        <v>251</v>
      </c>
      <c r="B300" s="29">
        <f>105000000+105000000+105000000</f>
        <v>315000000</v>
      </c>
      <c r="C300" s="28" t="s">
        <v>56</v>
      </c>
      <c r="D300" s="29">
        <v>310499989</v>
      </c>
      <c r="E300" s="29">
        <f>B300-F300</f>
        <v>4500011</v>
      </c>
      <c r="F300" s="29">
        <v>310499989</v>
      </c>
      <c r="G300" s="30">
        <v>100</v>
      </c>
      <c r="H300" s="22"/>
      <c r="I300" s="16"/>
    </row>
    <row r="301" spans="1:14" ht="36" x14ac:dyDescent="0.25">
      <c r="A301" s="28" t="s">
        <v>252</v>
      </c>
      <c r="B301" s="29">
        <f>210000000+175000000</f>
        <v>385000000</v>
      </c>
      <c r="C301" s="28" t="s">
        <v>56</v>
      </c>
      <c r="D301" s="29">
        <f>86025000+172050000+120435000</f>
        <v>378510000</v>
      </c>
      <c r="E301" s="29">
        <f>B301-F301</f>
        <v>6490000</v>
      </c>
      <c r="F301" s="29">
        <f>86025000+172050000+120435000</f>
        <v>378510000</v>
      </c>
      <c r="G301" s="30">
        <v>100</v>
      </c>
      <c r="H301" s="22"/>
      <c r="I301" s="16"/>
    </row>
    <row r="302" spans="1:14" x14ac:dyDescent="0.25">
      <c r="A302" s="28" t="s">
        <v>253</v>
      </c>
      <c r="B302" s="29">
        <f>16985650+345860000+61343000+6490000+1995000</f>
        <v>432673650</v>
      </c>
      <c r="C302" s="28" t="s">
        <v>15</v>
      </c>
      <c r="D302" s="29">
        <f>F302</f>
        <v>386313100</v>
      </c>
      <c r="E302" s="29">
        <f>B302-F302</f>
        <v>46360550</v>
      </c>
      <c r="F302" s="29">
        <f>16982000+343910000+17600000+5875000+1946100</f>
        <v>386313100</v>
      </c>
      <c r="G302" s="30">
        <f>F302/B302*100</f>
        <v>89.285099751279049</v>
      </c>
      <c r="H302" s="22"/>
      <c r="I302" s="16"/>
    </row>
    <row r="303" spans="1:14" ht="24" x14ac:dyDescent="0.25">
      <c r="A303" s="23" t="s">
        <v>254</v>
      </c>
      <c r="B303" s="24">
        <f>SUM(B304:B305)</f>
        <v>173721000</v>
      </c>
      <c r="C303" s="25"/>
      <c r="D303" s="26"/>
      <c r="E303" s="24">
        <f>SUM(E304:E305)</f>
        <v>44633044</v>
      </c>
      <c r="F303" s="24">
        <f>SUM(F304:F305)</f>
        <v>129087956</v>
      </c>
      <c r="G303" s="27">
        <f>AVERAGE(G304)</f>
        <v>100</v>
      </c>
      <c r="H303" s="16"/>
      <c r="I303" s="16"/>
    </row>
    <row r="304" spans="1:14" ht="24" x14ac:dyDescent="0.25">
      <c r="A304" s="28" t="s">
        <v>255</v>
      </c>
      <c r="B304" s="29">
        <v>35000000</v>
      </c>
      <c r="C304" s="28" t="s">
        <v>111</v>
      </c>
      <c r="D304" s="29">
        <v>34410000</v>
      </c>
      <c r="E304" s="29">
        <f>B304-F304</f>
        <v>590000</v>
      </c>
      <c r="F304" s="29">
        <v>34410000</v>
      </c>
      <c r="G304" s="30">
        <v>100</v>
      </c>
      <c r="H304" s="22"/>
      <c r="I304" s="16"/>
    </row>
    <row r="305" spans="1:9" x14ac:dyDescent="0.25">
      <c r="A305" s="28" t="s">
        <v>94</v>
      </c>
      <c r="B305" s="29">
        <f>151400000-41279000+28600000</f>
        <v>138721000</v>
      </c>
      <c r="C305" s="28" t="s">
        <v>15</v>
      </c>
      <c r="D305" s="29">
        <f>F305</f>
        <v>94677956</v>
      </c>
      <c r="E305" s="29">
        <f>B305-F305</f>
        <v>44043044</v>
      </c>
      <c r="F305" s="29">
        <v>94677956</v>
      </c>
      <c r="G305" s="30">
        <f>F305/B305*100</f>
        <v>68.250629681158586</v>
      </c>
      <c r="H305" s="22"/>
      <c r="I305" s="16"/>
    </row>
    <row r="306" spans="1:9" ht="24" x14ac:dyDescent="0.25">
      <c r="A306" s="12" t="s">
        <v>256</v>
      </c>
      <c r="B306" s="13">
        <f>SUM(B307)</f>
        <v>16275000000</v>
      </c>
      <c r="C306" s="12"/>
      <c r="D306" s="13"/>
      <c r="E306" s="13">
        <f>SUM(E307)</f>
        <v>318705341</v>
      </c>
      <c r="F306" s="13">
        <f>SUM(F307)</f>
        <v>15956294659</v>
      </c>
      <c r="G306" s="14">
        <f>G307</f>
        <v>99.540878409616269</v>
      </c>
      <c r="H306" s="22"/>
      <c r="I306" s="16"/>
    </row>
    <row r="307" spans="1:9" ht="36" x14ac:dyDescent="0.25">
      <c r="A307" s="17" t="s">
        <v>257</v>
      </c>
      <c r="B307" s="18">
        <f>SUM(B308)</f>
        <v>16275000000</v>
      </c>
      <c r="C307" s="19"/>
      <c r="D307" s="20"/>
      <c r="E307" s="18">
        <f>SUM(E308)</f>
        <v>318705341</v>
      </c>
      <c r="F307" s="18">
        <f>SUM(F308)</f>
        <v>15956294659</v>
      </c>
      <c r="G307" s="21">
        <f>G308</f>
        <v>99.540878409616269</v>
      </c>
      <c r="H307" s="16"/>
      <c r="I307" s="16"/>
    </row>
    <row r="308" spans="1:9" x14ac:dyDescent="0.25">
      <c r="A308" s="23" t="s">
        <v>258</v>
      </c>
      <c r="B308" s="24">
        <f>SUM(B309:B392)</f>
        <v>16275000000</v>
      </c>
      <c r="C308" s="25"/>
      <c r="D308" s="26"/>
      <c r="E308" s="24">
        <f>SUM(E309:E392)</f>
        <v>318705341</v>
      </c>
      <c r="F308" s="24">
        <f>SUM(F309:F392)</f>
        <v>15956294659</v>
      </c>
      <c r="G308" s="27">
        <f>AVERAGE(G309:G377,G378)</f>
        <v>99.540878409616269</v>
      </c>
      <c r="H308" s="22"/>
      <c r="I308" s="16"/>
    </row>
    <row r="309" spans="1:9" ht="24" x14ac:dyDescent="0.25">
      <c r="A309" s="28" t="s">
        <v>259</v>
      </c>
      <c r="B309" s="29">
        <v>50000000</v>
      </c>
      <c r="C309" s="28" t="s">
        <v>111</v>
      </c>
      <c r="D309" s="29">
        <v>48673500</v>
      </c>
      <c r="E309" s="29">
        <f>B309-F309</f>
        <v>1326500</v>
      </c>
      <c r="F309" s="29">
        <v>48673500</v>
      </c>
      <c r="G309" s="30">
        <v>100</v>
      </c>
      <c r="H309" s="22"/>
      <c r="I309" s="16"/>
    </row>
    <row r="310" spans="1:9" ht="30.75" customHeight="1" x14ac:dyDescent="0.25">
      <c r="A310" s="28" t="s">
        <v>260</v>
      </c>
      <c r="B310" s="29">
        <v>485000000</v>
      </c>
      <c r="C310" s="28" t="s">
        <v>104</v>
      </c>
      <c r="D310" s="29">
        <v>475677000</v>
      </c>
      <c r="E310" s="29">
        <f>B310-F310</f>
        <v>9323000</v>
      </c>
      <c r="F310" s="29">
        <v>475677000</v>
      </c>
      <c r="G310" s="30">
        <v>100</v>
      </c>
      <c r="H310" s="22"/>
      <c r="I310" s="16"/>
    </row>
    <row r="311" spans="1:9" ht="24" x14ac:dyDescent="0.25">
      <c r="A311" s="28" t="s">
        <v>261</v>
      </c>
      <c r="B311" s="29">
        <v>195000000</v>
      </c>
      <c r="C311" s="28" t="s">
        <v>104</v>
      </c>
      <c r="D311" s="29">
        <v>193029000</v>
      </c>
      <c r="E311" s="29">
        <f>B311-F311</f>
        <v>1971000</v>
      </c>
      <c r="F311" s="29">
        <v>193029000</v>
      </c>
      <c r="G311" s="30">
        <v>100</v>
      </c>
      <c r="H311" s="22"/>
      <c r="I311" s="16"/>
    </row>
    <row r="312" spans="1:9" ht="24" x14ac:dyDescent="0.25">
      <c r="A312" s="28" t="s">
        <v>262</v>
      </c>
      <c r="B312" s="29">
        <v>147000000</v>
      </c>
      <c r="C312" s="28" t="s">
        <v>104</v>
      </c>
      <c r="D312" s="29">
        <v>145410000</v>
      </c>
      <c r="E312" s="29">
        <f>B312-F312</f>
        <v>1590000</v>
      </c>
      <c r="F312" s="29">
        <v>145410000</v>
      </c>
      <c r="G312" s="30">
        <v>100</v>
      </c>
      <c r="H312" s="22"/>
      <c r="I312" s="16"/>
    </row>
    <row r="313" spans="1:9" ht="24" x14ac:dyDescent="0.25">
      <c r="A313" s="28" t="s">
        <v>263</v>
      </c>
      <c r="B313" s="29">
        <v>390000000</v>
      </c>
      <c r="C313" s="28" t="s">
        <v>104</v>
      </c>
      <c r="D313" s="29">
        <v>386502000</v>
      </c>
      <c r="E313" s="29">
        <f>B313-F313</f>
        <v>3498000</v>
      </c>
      <c r="F313" s="29">
        <v>386502000</v>
      </c>
      <c r="G313" s="30">
        <v>100</v>
      </c>
      <c r="H313" s="22"/>
      <c r="I313" s="16"/>
    </row>
    <row r="314" spans="1:9" ht="24" x14ac:dyDescent="0.25">
      <c r="A314" s="28" t="s">
        <v>264</v>
      </c>
      <c r="B314" s="29">
        <v>195000000</v>
      </c>
      <c r="C314" s="28" t="s">
        <v>104</v>
      </c>
      <c r="D314" s="29">
        <v>192585000</v>
      </c>
      <c r="E314" s="29">
        <f>B314-F314</f>
        <v>2415000</v>
      </c>
      <c r="F314" s="29">
        <v>192585000</v>
      </c>
      <c r="G314" s="30">
        <v>100</v>
      </c>
      <c r="H314" s="22"/>
      <c r="I314" s="16"/>
    </row>
    <row r="315" spans="1:9" ht="24" x14ac:dyDescent="0.25">
      <c r="A315" s="28" t="s">
        <v>265</v>
      </c>
      <c r="B315" s="29">
        <v>195000000</v>
      </c>
      <c r="C315" s="28" t="s">
        <v>104</v>
      </c>
      <c r="D315" s="29">
        <v>192696000</v>
      </c>
      <c r="E315" s="29">
        <f>B315-F315</f>
        <v>2304000</v>
      </c>
      <c r="F315" s="29">
        <v>192696000</v>
      </c>
      <c r="G315" s="30">
        <v>100</v>
      </c>
      <c r="H315" s="22"/>
      <c r="I315" s="16"/>
    </row>
    <row r="316" spans="1:9" ht="24" x14ac:dyDescent="0.25">
      <c r="A316" s="28" t="s">
        <v>266</v>
      </c>
      <c r="B316" s="29">
        <v>195000000</v>
      </c>
      <c r="C316" s="28" t="s">
        <v>104</v>
      </c>
      <c r="D316" s="29">
        <v>193251000</v>
      </c>
      <c r="E316" s="29">
        <f>B316-F316</f>
        <v>1749000</v>
      </c>
      <c r="F316" s="29">
        <v>193251000</v>
      </c>
      <c r="G316" s="30">
        <v>100</v>
      </c>
      <c r="H316" s="22"/>
      <c r="I316" s="16"/>
    </row>
    <row r="317" spans="1:9" ht="24" x14ac:dyDescent="0.25">
      <c r="A317" s="28" t="s">
        <v>267</v>
      </c>
      <c r="B317" s="29">
        <v>195000000</v>
      </c>
      <c r="C317" s="28" t="s">
        <v>104</v>
      </c>
      <c r="D317" s="29">
        <v>193584000</v>
      </c>
      <c r="E317" s="29">
        <f>B317-F317</f>
        <v>1416000</v>
      </c>
      <c r="F317" s="29">
        <v>193584000</v>
      </c>
      <c r="G317" s="30">
        <v>100</v>
      </c>
      <c r="H317" s="22"/>
      <c r="I317" s="16"/>
    </row>
    <row r="318" spans="1:9" ht="24" x14ac:dyDescent="0.25">
      <c r="A318" s="28" t="s">
        <v>268</v>
      </c>
      <c r="B318" s="29">
        <v>195000000</v>
      </c>
      <c r="C318" s="28" t="s">
        <v>104</v>
      </c>
      <c r="D318" s="29">
        <v>192807000</v>
      </c>
      <c r="E318" s="29">
        <f>B318-F318</f>
        <v>2193000</v>
      </c>
      <c r="F318" s="29">
        <v>192807000</v>
      </c>
      <c r="G318" s="30">
        <v>100</v>
      </c>
      <c r="H318" s="22"/>
      <c r="I318" s="16"/>
    </row>
    <row r="319" spans="1:9" ht="24" x14ac:dyDescent="0.25">
      <c r="A319" s="28" t="s">
        <v>269</v>
      </c>
      <c r="B319" s="29">
        <v>195000000</v>
      </c>
      <c r="C319" s="28" t="s">
        <v>104</v>
      </c>
      <c r="D319" s="29">
        <v>193029000</v>
      </c>
      <c r="E319" s="29">
        <f>B319-F319</f>
        <v>1971000</v>
      </c>
      <c r="F319" s="29">
        <v>193029000</v>
      </c>
      <c r="G319" s="30">
        <v>100</v>
      </c>
      <c r="H319" s="22"/>
      <c r="I319" s="16"/>
    </row>
    <row r="320" spans="1:9" ht="24" x14ac:dyDescent="0.25">
      <c r="A320" s="28" t="s">
        <v>270</v>
      </c>
      <c r="B320" s="29">
        <v>195000000</v>
      </c>
      <c r="C320" s="28" t="s">
        <v>104</v>
      </c>
      <c r="D320" s="29">
        <v>193140000</v>
      </c>
      <c r="E320" s="29">
        <f>B320-F320</f>
        <v>1860000</v>
      </c>
      <c r="F320" s="29">
        <v>193140000</v>
      </c>
      <c r="G320" s="30">
        <v>100</v>
      </c>
      <c r="H320" s="22"/>
      <c r="I320" s="16"/>
    </row>
    <row r="321" spans="1:9" ht="24" x14ac:dyDescent="0.25">
      <c r="A321" s="28" t="s">
        <v>271</v>
      </c>
      <c r="B321" s="29">
        <v>195000000</v>
      </c>
      <c r="C321" s="28" t="s">
        <v>104</v>
      </c>
      <c r="D321" s="29">
        <v>193029000</v>
      </c>
      <c r="E321" s="29">
        <f>B321-F321</f>
        <v>1971000</v>
      </c>
      <c r="F321" s="29">
        <v>193029000</v>
      </c>
      <c r="G321" s="30">
        <v>100</v>
      </c>
      <c r="H321" s="22"/>
      <c r="I321" s="16"/>
    </row>
    <row r="322" spans="1:9" ht="24" customHeight="1" x14ac:dyDescent="0.25">
      <c r="A322" s="28" t="s">
        <v>272</v>
      </c>
      <c r="B322" s="29">
        <v>195000000</v>
      </c>
      <c r="C322" s="28" t="s">
        <v>104</v>
      </c>
      <c r="D322" s="29">
        <v>193029000</v>
      </c>
      <c r="E322" s="29">
        <f>B322-F322</f>
        <v>1971000</v>
      </c>
      <c r="F322" s="29">
        <v>193029000</v>
      </c>
      <c r="G322" s="30">
        <v>100</v>
      </c>
      <c r="H322" s="22"/>
      <c r="I322" s="16"/>
    </row>
    <row r="323" spans="1:9" ht="24" x14ac:dyDescent="0.25">
      <c r="A323" s="28" t="s">
        <v>273</v>
      </c>
      <c r="B323" s="29">
        <v>195000000</v>
      </c>
      <c r="C323" s="28" t="s">
        <v>104</v>
      </c>
      <c r="D323" s="29">
        <v>193029000</v>
      </c>
      <c r="E323" s="29">
        <f>B323-F323</f>
        <v>1971000</v>
      </c>
      <c r="F323" s="29">
        <v>193029000</v>
      </c>
      <c r="G323" s="30">
        <v>100</v>
      </c>
      <c r="H323" s="22"/>
      <c r="I323" s="16"/>
    </row>
    <row r="324" spans="1:9" ht="24" x14ac:dyDescent="0.25">
      <c r="A324" s="28" t="s">
        <v>274</v>
      </c>
      <c r="B324" s="29">
        <v>485000000</v>
      </c>
      <c r="C324" s="28" t="s">
        <v>104</v>
      </c>
      <c r="D324" s="29">
        <v>478676300</v>
      </c>
      <c r="E324" s="29">
        <f>B324-F324</f>
        <v>6323700</v>
      </c>
      <c r="F324" s="29">
        <f>143602890+335073410</f>
        <v>478676300</v>
      </c>
      <c r="G324" s="30">
        <v>100</v>
      </c>
      <c r="H324" s="22"/>
      <c r="I324" s="16"/>
    </row>
    <row r="325" spans="1:9" ht="24" x14ac:dyDescent="0.25">
      <c r="A325" s="28" t="s">
        <v>275</v>
      </c>
      <c r="B325" s="29">
        <v>195000000</v>
      </c>
      <c r="C325" s="28" t="s">
        <v>104</v>
      </c>
      <c r="D325" s="29" t="s">
        <v>276</v>
      </c>
      <c r="E325" s="29">
        <f>B325-F325</f>
        <v>1971000</v>
      </c>
      <c r="F325" s="29">
        <v>193029000</v>
      </c>
      <c r="G325" s="30">
        <v>100</v>
      </c>
      <c r="H325" s="22"/>
      <c r="I325" s="16"/>
    </row>
    <row r="326" spans="1:9" ht="24" x14ac:dyDescent="0.25">
      <c r="A326" s="28" t="s">
        <v>277</v>
      </c>
      <c r="B326" s="29">
        <v>560000000</v>
      </c>
      <c r="C326" s="28" t="s">
        <v>104</v>
      </c>
      <c r="D326" s="29">
        <v>547664645</v>
      </c>
      <c r="E326" s="29">
        <f>B326-F326</f>
        <v>12335355</v>
      </c>
      <c r="F326" s="29">
        <v>547664645</v>
      </c>
      <c r="G326" s="30">
        <v>100</v>
      </c>
      <c r="H326" s="22"/>
      <c r="I326" s="16"/>
    </row>
    <row r="327" spans="1:9" ht="24" x14ac:dyDescent="0.25">
      <c r="A327" s="28" t="s">
        <v>278</v>
      </c>
      <c r="B327" s="29">
        <v>195000000</v>
      </c>
      <c r="C327" s="28" t="s">
        <v>104</v>
      </c>
      <c r="D327" s="29">
        <v>193029000</v>
      </c>
      <c r="E327" s="29">
        <f>B327-F327</f>
        <v>1971000</v>
      </c>
      <c r="F327" s="29">
        <v>193029000</v>
      </c>
      <c r="G327" s="30">
        <v>100</v>
      </c>
      <c r="H327" s="22"/>
      <c r="I327" s="16"/>
    </row>
    <row r="328" spans="1:9" ht="24" x14ac:dyDescent="0.25">
      <c r="A328" s="28" t="s">
        <v>279</v>
      </c>
      <c r="B328" s="29">
        <v>195000000</v>
      </c>
      <c r="C328" s="28" t="s">
        <v>104</v>
      </c>
      <c r="D328" s="29">
        <v>192141000</v>
      </c>
      <c r="E328" s="29">
        <f>B328-F328</f>
        <v>2859000</v>
      </c>
      <c r="F328" s="29">
        <v>192141000</v>
      </c>
      <c r="G328" s="30">
        <v>100</v>
      </c>
      <c r="H328" s="22"/>
      <c r="I328" s="16"/>
    </row>
    <row r="329" spans="1:9" ht="24" x14ac:dyDescent="0.25">
      <c r="A329" s="28" t="s">
        <v>280</v>
      </c>
      <c r="B329" s="29">
        <f>195000000-95000000</f>
        <v>100000000</v>
      </c>
      <c r="C329" s="28" t="s">
        <v>104</v>
      </c>
      <c r="D329" s="29">
        <v>99000000</v>
      </c>
      <c r="E329" s="29">
        <f>B329-F329</f>
        <v>1000000</v>
      </c>
      <c r="F329" s="29">
        <v>99000000</v>
      </c>
      <c r="G329" s="30">
        <v>100</v>
      </c>
      <c r="H329" s="22"/>
      <c r="I329" s="16"/>
    </row>
    <row r="330" spans="1:9" ht="24" x14ac:dyDescent="0.25">
      <c r="A330" s="28" t="s">
        <v>281</v>
      </c>
      <c r="B330" s="29">
        <v>195000000</v>
      </c>
      <c r="C330" s="28" t="s">
        <v>104</v>
      </c>
      <c r="D330" s="29">
        <v>192585000</v>
      </c>
      <c r="E330" s="29">
        <f>B330-F330</f>
        <v>2415000</v>
      </c>
      <c r="F330" s="29">
        <v>192585000</v>
      </c>
      <c r="G330" s="30">
        <v>100</v>
      </c>
      <c r="H330" s="22"/>
      <c r="I330" s="16"/>
    </row>
    <row r="331" spans="1:9" ht="24" x14ac:dyDescent="0.25">
      <c r="A331" s="28" t="s">
        <v>282</v>
      </c>
      <c r="B331" s="29">
        <v>147000000</v>
      </c>
      <c r="C331" s="28" t="s">
        <v>104</v>
      </c>
      <c r="D331" s="29">
        <v>145299000</v>
      </c>
      <c r="E331" s="29">
        <f>B331-F331</f>
        <v>1701000</v>
      </c>
      <c r="F331" s="29">
        <v>145299000</v>
      </c>
      <c r="G331" s="30">
        <v>100</v>
      </c>
      <c r="H331" s="22"/>
      <c r="I331" s="16"/>
    </row>
    <row r="332" spans="1:9" ht="24" x14ac:dyDescent="0.25">
      <c r="A332" s="28" t="s">
        <v>283</v>
      </c>
      <c r="B332" s="29">
        <v>195000000</v>
      </c>
      <c r="C332" s="28" t="s">
        <v>104</v>
      </c>
      <c r="D332" s="29">
        <v>192696000</v>
      </c>
      <c r="E332" s="29">
        <f>B332-F332</f>
        <v>2304000</v>
      </c>
      <c r="F332" s="29">
        <v>192696000</v>
      </c>
      <c r="G332" s="30">
        <v>100</v>
      </c>
      <c r="H332" s="22"/>
      <c r="I332" s="16"/>
    </row>
    <row r="333" spans="1:9" ht="24" x14ac:dyDescent="0.25">
      <c r="A333" s="28" t="s">
        <v>284</v>
      </c>
      <c r="B333" s="29">
        <v>195000000</v>
      </c>
      <c r="C333" s="28" t="s">
        <v>104</v>
      </c>
      <c r="D333" s="29">
        <v>192807000</v>
      </c>
      <c r="E333" s="29">
        <f>B333-F333</f>
        <v>2193000</v>
      </c>
      <c r="F333" s="29">
        <v>192807000</v>
      </c>
      <c r="G333" s="30">
        <v>100</v>
      </c>
      <c r="H333" s="22"/>
      <c r="I333" s="16"/>
    </row>
    <row r="334" spans="1:9" ht="24" x14ac:dyDescent="0.25">
      <c r="A334" s="28" t="s">
        <v>285</v>
      </c>
      <c r="B334" s="29">
        <v>485000000</v>
      </c>
      <c r="C334" s="28" t="s">
        <v>104</v>
      </c>
      <c r="D334" s="29">
        <v>477732900</v>
      </c>
      <c r="E334" s="29">
        <f>B334-F334</f>
        <v>7267100</v>
      </c>
      <c r="F334" s="29">
        <v>477732900</v>
      </c>
      <c r="G334" s="30">
        <v>100</v>
      </c>
      <c r="H334" s="22"/>
      <c r="I334" s="16"/>
    </row>
    <row r="335" spans="1:9" ht="24" x14ac:dyDescent="0.25">
      <c r="A335" s="28" t="s">
        <v>286</v>
      </c>
      <c r="B335" s="29">
        <v>195000000</v>
      </c>
      <c r="C335" s="28" t="s">
        <v>104</v>
      </c>
      <c r="D335" s="29">
        <v>193029000</v>
      </c>
      <c r="E335" s="29">
        <f>B335-F335</f>
        <v>1971000</v>
      </c>
      <c r="F335" s="29">
        <v>193029000</v>
      </c>
      <c r="G335" s="30">
        <v>100</v>
      </c>
      <c r="H335" s="22"/>
      <c r="I335" s="16"/>
    </row>
    <row r="336" spans="1:9" ht="24" x14ac:dyDescent="0.25">
      <c r="A336" s="28" t="s">
        <v>287</v>
      </c>
      <c r="B336" s="29">
        <v>485000000</v>
      </c>
      <c r="C336" s="28" t="s">
        <v>104</v>
      </c>
      <c r="D336" s="29">
        <v>478660600</v>
      </c>
      <c r="E336" s="29">
        <f>B336-F336</f>
        <v>6339400</v>
      </c>
      <c r="F336" s="29">
        <v>478660600</v>
      </c>
      <c r="G336" s="30">
        <v>100</v>
      </c>
      <c r="H336" s="22"/>
      <c r="I336" s="16"/>
    </row>
    <row r="337" spans="1:9" ht="24" x14ac:dyDescent="0.25">
      <c r="A337" s="28" t="s">
        <v>288</v>
      </c>
      <c r="B337" s="29">
        <v>1000000000</v>
      </c>
      <c r="C337" s="28" t="s">
        <v>104</v>
      </c>
      <c r="D337" s="29">
        <v>972153256</v>
      </c>
      <c r="E337" s="29">
        <f>B337-F337</f>
        <v>27846744</v>
      </c>
      <c r="F337" s="29">
        <v>972153256</v>
      </c>
      <c r="G337" s="30">
        <v>100</v>
      </c>
      <c r="H337" s="22"/>
      <c r="I337" s="16"/>
    </row>
    <row r="338" spans="1:9" ht="24" x14ac:dyDescent="0.25">
      <c r="A338" s="28" t="s">
        <v>289</v>
      </c>
      <c r="B338" s="29">
        <v>195000000</v>
      </c>
      <c r="C338" s="28" t="s">
        <v>104</v>
      </c>
      <c r="D338" s="29">
        <v>192918000</v>
      </c>
      <c r="E338" s="29">
        <f>B338-F338</f>
        <v>2082000</v>
      </c>
      <c r="F338" s="29">
        <v>192918000</v>
      </c>
      <c r="G338" s="30">
        <v>100</v>
      </c>
      <c r="H338" s="22"/>
      <c r="I338" s="16"/>
    </row>
    <row r="339" spans="1:9" ht="24" x14ac:dyDescent="0.25">
      <c r="A339" s="28" t="s">
        <v>290</v>
      </c>
      <c r="B339" s="29">
        <v>195000000</v>
      </c>
      <c r="C339" s="28" t="s">
        <v>104</v>
      </c>
      <c r="D339" s="29">
        <v>192696000</v>
      </c>
      <c r="E339" s="29">
        <f>B339-F339</f>
        <v>2304000</v>
      </c>
      <c r="F339" s="29">
        <v>192696000</v>
      </c>
      <c r="G339" s="30">
        <v>100</v>
      </c>
      <c r="H339" s="22"/>
      <c r="I339" s="16"/>
    </row>
    <row r="340" spans="1:9" ht="24" x14ac:dyDescent="0.25">
      <c r="A340" s="28" t="s">
        <v>291</v>
      </c>
      <c r="B340" s="29">
        <v>147000000</v>
      </c>
      <c r="C340" s="28" t="s">
        <v>104</v>
      </c>
      <c r="D340" s="29">
        <v>144966000</v>
      </c>
      <c r="E340" s="29">
        <f>B340-F340</f>
        <v>2034000</v>
      </c>
      <c r="F340" s="29">
        <v>144966000</v>
      </c>
      <c r="G340" s="30">
        <v>100</v>
      </c>
      <c r="H340" s="22"/>
      <c r="I340" s="16"/>
    </row>
    <row r="341" spans="1:9" ht="24" x14ac:dyDescent="0.25">
      <c r="A341" s="28" t="s">
        <v>292</v>
      </c>
      <c r="B341" s="29">
        <v>147000000</v>
      </c>
      <c r="C341" s="28" t="s">
        <v>104</v>
      </c>
      <c r="D341" s="29">
        <v>144411000</v>
      </c>
      <c r="E341" s="29">
        <f>B341-F341</f>
        <v>2589000</v>
      </c>
      <c r="F341" s="29">
        <v>144411000</v>
      </c>
      <c r="G341" s="30">
        <v>100</v>
      </c>
      <c r="H341" s="22"/>
      <c r="I341" s="16"/>
    </row>
    <row r="342" spans="1:9" ht="24" x14ac:dyDescent="0.25">
      <c r="A342" s="28" t="s">
        <v>293</v>
      </c>
      <c r="B342" s="29">
        <v>195000000</v>
      </c>
      <c r="C342" s="28" t="s">
        <v>104</v>
      </c>
      <c r="D342" s="29">
        <v>192696000</v>
      </c>
      <c r="E342" s="29">
        <f>B342-F342</f>
        <v>2304000</v>
      </c>
      <c r="F342" s="29">
        <v>192696000</v>
      </c>
      <c r="G342" s="30">
        <v>100</v>
      </c>
      <c r="H342" s="22"/>
      <c r="I342" s="16"/>
    </row>
    <row r="343" spans="1:9" ht="24" x14ac:dyDescent="0.25">
      <c r="A343" s="28" t="s">
        <v>294</v>
      </c>
      <c r="B343" s="29">
        <v>195000000</v>
      </c>
      <c r="C343" s="28" t="s">
        <v>104</v>
      </c>
      <c r="D343" s="29">
        <v>192696000</v>
      </c>
      <c r="E343" s="29">
        <f>B343-F343</f>
        <v>2304000</v>
      </c>
      <c r="F343" s="29">
        <v>192696000</v>
      </c>
      <c r="G343" s="30">
        <v>100</v>
      </c>
      <c r="H343" s="22"/>
      <c r="I343" s="16"/>
    </row>
    <row r="344" spans="1:9" ht="24" x14ac:dyDescent="0.25">
      <c r="A344" s="28" t="s">
        <v>295</v>
      </c>
      <c r="B344" s="29">
        <v>195000000</v>
      </c>
      <c r="C344" s="28" t="s">
        <v>104</v>
      </c>
      <c r="D344" s="29">
        <v>193473000</v>
      </c>
      <c r="E344" s="29">
        <f>B344-F344</f>
        <v>1527000</v>
      </c>
      <c r="F344" s="29">
        <v>193473000</v>
      </c>
      <c r="G344" s="30">
        <v>100</v>
      </c>
      <c r="H344" s="22"/>
      <c r="I344" s="16"/>
    </row>
    <row r="345" spans="1:9" ht="24" x14ac:dyDescent="0.25">
      <c r="A345" s="28" t="s">
        <v>296</v>
      </c>
      <c r="B345" s="29">
        <v>147000000</v>
      </c>
      <c r="C345" s="28" t="s">
        <v>104</v>
      </c>
      <c r="D345" s="29">
        <v>145410000</v>
      </c>
      <c r="E345" s="29">
        <f>B345-F345</f>
        <v>1590000</v>
      </c>
      <c r="F345" s="29">
        <v>145410000</v>
      </c>
      <c r="G345" s="30">
        <v>100</v>
      </c>
      <c r="H345" s="22"/>
      <c r="I345" s="16"/>
    </row>
    <row r="346" spans="1:9" ht="24" x14ac:dyDescent="0.25">
      <c r="A346" s="28" t="s">
        <v>297</v>
      </c>
      <c r="B346" s="29">
        <v>195000000</v>
      </c>
      <c r="C346" s="28" t="s">
        <v>104</v>
      </c>
      <c r="D346" s="29">
        <v>192696000</v>
      </c>
      <c r="E346" s="29">
        <f>B346-F346</f>
        <v>2304000</v>
      </c>
      <c r="F346" s="29">
        <v>192696000</v>
      </c>
      <c r="G346" s="30">
        <v>100</v>
      </c>
      <c r="H346" s="22"/>
      <c r="I346" s="16"/>
    </row>
    <row r="347" spans="1:9" ht="24" x14ac:dyDescent="0.25">
      <c r="A347" s="28" t="s">
        <v>298</v>
      </c>
      <c r="B347" s="29">
        <v>195000000</v>
      </c>
      <c r="C347" s="28" t="s">
        <v>104</v>
      </c>
      <c r="D347" s="29">
        <v>192474000</v>
      </c>
      <c r="E347" s="29">
        <f>B347-F347</f>
        <v>2526000</v>
      </c>
      <c r="F347" s="29">
        <v>192474000</v>
      </c>
      <c r="G347" s="30">
        <v>100</v>
      </c>
      <c r="H347" s="22"/>
      <c r="I347" s="16"/>
    </row>
    <row r="348" spans="1:9" ht="24" x14ac:dyDescent="0.25">
      <c r="A348" s="28" t="s">
        <v>299</v>
      </c>
      <c r="B348" s="29">
        <v>195000000</v>
      </c>
      <c r="C348" s="28" t="s">
        <v>104</v>
      </c>
      <c r="D348" s="29">
        <v>192696000</v>
      </c>
      <c r="E348" s="29">
        <f>B348-F348</f>
        <v>2304000</v>
      </c>
      <c r="F348" s="29">
        <v>192696000</v>
      </c>
      <c r="G348" s="30">
        <v>100</v>
      </c>
      <c r="H348" s="22"/>
      <c r="I348" s="16"/>
    </row>
    <row r="349" spans="1:9" ht="24" x14ac:dyDescent="0.25">
      <c r="A349" s="28" t="s">
        <v>300</v>
      </c>
      <c r="B349" s="35">
        <v>172000000</v>
      </c>
      <c r="C349" s="28" t="s">
        <v>104</v>
      </c>
      <c r="D349" s="29">
        <v>170052000</v>
      </c>
      <c r="E349" s="29">
        <f>B349-F349</f>
        <v>1948000</v>
      </c>
      <c r="F349" s="29">
        <v>170052000</v>
      </c>
      <c r="G349" s="30">
        <v>100</v>
      </c>
      <c r="H349" s="22"/>
      <c r="I349" s="16"/>
    </row>
    <row r="350" spans="1:9" ht="24" x14ac:dyDescent="0.25">
      <c r="A350" s="28" t="s">
        <v>301</v>
      </c>
      <c r="B350" s="29">
        <v>195000000</v>
      </c>
      <c r="C350" s="28" t="s">
        <v>104</v>
      </c>
      <c r="D350" s="29">
        <v>192918000</v>
      </c>
      <c r="E350" s="29">
        <f>B350-F350</f>
        <v>2082000</v>
      </c>
      <c r="F350" s="29">
        <v>192918000</v>
      </c>
      <c r="G350" s="30">
        <v>100</v>
      </c>
      <c r="H350" s="22"/>
      <c r="I350" s="16"/>
    </row>
    <row r="351" spans="1:9" ht="24" x14ac:dyDescent="0.25">
      <c r="A351" s="28" t="s">
        <v>302</v>
      </c>
      <c r="B351" s="29">
        <v>100000000</v>
      </c>
      <c r="C351" s="28" t="s">
        <v>104</v>
      </c>
      <c r="D351" s="29">
        <v>98235000</v>
      </c>
      <c r="E351" s="29">
        <f>B351-F351</f>
        <v>1765000</v>
      </c>
      <c r="F351" s="29">
        <v>98235000</v>
      </c>
      <c r="G351" s="30">
        <v>100</v>
      </c>
      <c r="H351" s="22"/>
      <c r="I351" s="16"/>
    </row>
    <row r="352" spans="1:9" ht="24" x14ac:dyDescent="0.25">
      <c r="A352" s="28" t="s">
        <v>303</v>
      </c>
      <c r="B352" s="29">
        <v>485000000</v>
      </c>
      <c r="C352" s="28" t="s">
        <v>104</v>
      </c>
      <c r="D352" s="29">
        <v>473838400</v>
      </c>
      <c r="E352" s="29">
        <f>B352-F352</f>
        <v>11161600</v>
      </c>
      <c r="F352" s="29">
        <v>473838400</v>
      </c>
      <c r="G352" s="30">
        <v>100</v>
      </c>
      <c r="H352" s="22"/>
      <c r="I352" s="16"/>
    </row>
    <row r="353" spans="1:9" ht="24" x14ac:dyDescent="0.25">
      <c r="A353" s="28" t="s">
        <v>304</v>
      </c>
      <c r="B353" s="29">
        <v>172000000</v>
      </c>
      <c r="C353" s="28" t="s">
        <v>104</v>
      </c>
      <c r="D353" s="29">
        <v>169830000</v>
      </c>
      <c r="E353" s="29">
        <f>B353-F353</f>
        <v>2170000</v>
      </c>
      <c r="F353" s="29">
        <v>169830000</v>
      </c>
      <c r="G353" s="30">
        <v>100</v>
      </c>
      <c r="H353" s="22"/>
      <c r="I353" s="16"/>
    </row>
    <row r="354" spans="1:9" ht="24" x14ac:dyDescent="0.25">
      <c r="A354" s="28" t="s">
        <v>305</v>
      </c>
      <c r="B354" s="29">
        <v>147000000</v>
      </c>
      <c r="C354" s="28" t="s">
        <v>104</v>
      </c>
      <c r="D354" s="29">
        <v>144966000</v>
      </c>
      <c r="E354" s="29">
        <f>B354-F354</f>
        <v>2034000</v>
      </c>
      <c r="F354" s="29">
        <v>144966000</v>
      </c>
      <c r="G354" s="30">
        <v>100</v>
      </c>
      <c r="H354" s="22"/>
      <c r="I354" s="16"/>
    </row>
    <row r="355" spans="1:9" ht="24" x14ac:dyDescent="0.25">
      <c r="A355" s="28" t="s">
        <v>306</v>
      </c>
      <c r="B355" s="29">
        <v>485000000</v>
      </c>
      <c r="C355" s="28" t="s">
        <v>104</v>
      </c>
      <c r="D355" s="29">
        <v>478499500</v>
      </c>
      <c r="E355" s="29">
        <f>B355-F355</f>
        <v>6500500</v>
      </c>
      <c r="F355" s="29">
        <v>478499500</v>
      </c>
      <c r="G355" s="30">
        <v>100</v>
      </c>
      <c r="H355" s="22"/>
      <c r="I355" s="16"/>
    </row>
    <row r="356" spans="1:9" ht="24" x14ac:dyDescent="0.25">
      <c r="A356" s="28" t="s">
        <v>307</v>
      </c>
      <c r="B356" s="29">
        <v>100000000</v>
      </c>
      <c r="C356" s="28" t="s">
        <v>104</v>
      </c>
      <c r="D356" s="29">
        <v>97902000</v>
      </c>
      <c r="E356" s="29">
        <f>B356-F356</f>
        <v>2098000</v>
      </c>
      <c r="F356" s="29">
        <v>97902000</v>
      </c>
      <c r="G356" s="30">
        <v>100</v>
      </c>
      <c r="H356" s="22"/>
      <c r="I356" s="16"/>
    </row>
    <row r="357" spans="1:9" ht="24" x14ac:dyDescent="0.25">
      <c r="A357" s="28" t="s">
        <v>308</v>
      </c>
      <c r="B357" s="29">
        <v>560000000</v>
      </c>
      <c r="C357" s="28" t="s">
        <v>104</v>
      </c>
      <c r="D357" s="29">
        <v>554342358</v>
      </c>
      <c r="E357" s="29">
        <f>B357-F357</f>
        <v>5657642</v>
      </c>
      <c r="F357" s="29">
        <v>554342358</v>
      </c>
      <c r="G357" s="30">
        <v>100</v>
      </c>
      <c r="H357" s="22"/>
      <c r="I357" s="16"/>
    </row>
    <row r="358" spans="1:9" ht="24" x14ac:dyDescent="0.25">
      <c r="A358" s="28" t="s">
        <v>309</v>
      </c>
      <c r="B358" s="29">
        <v>100000000</v>
      </c>
      <c r="C358" s="28" t="s">
        <v>104</v>
      </c>
      <c r="D358" s="29">
        <v>97902000</v>
      </c>
      <c r="E358" s="29">
        <f>B358-F358</f>
        <v>2098000</v>
      </c>
      <c r="F358" s="29">
        <v>97902000</v>
      </c>
      <c r="G358" s="30">
        <v>100</v>
      </c>
      <c r="H358" s="22"/>
      <c r="I358" s="16"/>
    </row>
    <row r="359" spans="1:9" ht="24" x14ac:dyDescent="0.25">
      <c r="A359" s="28" t="s">
        <v>310</v>
      </c>
      <c r="B359" s="29">
        <v>147000000</v>
      </c>
      <c r="C359" s="28" t="s">
        <v>104</v>
      </c>
      <c r="D359" s="29">
        <v>145410000</v>
      </c>
      <c r="E359" s="29">
        <f>B359-F359</f>
        <v>1590000</v>
      </c>
      <c r="F359" s="29">
        <v>145410000</v>
      </c>
      <c r="G359" s="30">
        <v>100</v>
      </c>
      <c r="H359" s="22"/>
      <c r="I359" s="16"/>
    </row>
    <row r="360" spans="1:9" x14ac:dyDescent="0.25">
      <c r="A360" s="28" t="s">
        <v>311</v>
      </c>
      <c r="B360" s="29">
        <f>31453000+252547000+25000000</f>
        <v>309000000</v>
      </c>
      <c r="C360" s="28" t="s">
        <v>15</v>
      </c>
      <c r="D360" s="29">
        <f>F360</f>
        <v>209692000</v>
      </c>
      <c r="E360" s="29">
        <f>B360-F360</f>
        <v>99308000</v>
      </c>
      <c r="F360" s="29">
        <f>24030000+35040000+126472000+24150000</f>
        <v>209692000</v>
      </c>
      <c r="G360" s="30">
        <f>F360/B360*100</f>
        <v>67.861488673139164</v>
      </c>
      <c r="H360" s="22"/>
      <c r="I360" s="16"/>
    </row>
    <row r="361" spans="1:9" ht="24" x14ac:dyDescent="0.25">
      <c r="A361" s="28" t="s">
        <v>312</v>
      </c>
      <c r="B361" s="29">
        <v>40000000</v>
      </c>
      <c r="C361" s="28" t="s">
        <v>111</v>
      </c>
      <c r="D361" s="29">
        <v>38517000</v>
      </c>
      <c r="E361" s="29">
        <f>B361-F361</f>
        <v>1483000</v>
      </c>
      <c r="F361" s="29">
        <v>38517000</v>
      </c>
      <c r="G361" s="30">
        <v>100</v>
      </c>
      <c r="H361" s="22"/>
      <c r="I361" s="16"/>
    </row>
    <row r="362" spans="1:9" ht="24" x14ac:dyDescent="0.25">
      <c r="A362" s="28" t="s">
        <v>313</v>
      </c>
      <c r="B362" s="29">
        <v>497000000</v>
      </c>
      <c r="C362" s="28" t="s">
        <v>104</v>
      </c>
      <c r="D362" s="29">
        <v>489744000</v>
      </c>
      <c r="E362" s="29">
        <f>B362-F362</f>
        <v>7256000</v>
      </c>
      <c r="F362" s="29">
        <v>489744000</v>
      </c>
      <c r="G362" s="30">
        <v>100</v>
      </c>
      <c r="H362" s="22"/>
      <c r="I362" s="16"/>
    </row>
    <row r="363" spans="1:9" ht="24" x14ac:dyDescent="0.25">
      <c r="A363" s="28" t="s">
        <v>314</v>
      </c>
      <c r="B363" s="29">
        <v>725000000</v>
      </c>
      <c r="C363" s="28" t="s">
        <v>104</v>
      </c>
      <c r="D363" s="29">
        <v>715421200</v>
      </c>
      <c r="E363" s="29">
        <f>B363-F363</f>
        <v>9578800</v>
      </c>
      <c r="F363" s="29">
        <v>715421200</v>
      </c>
      <c r="G363" s="30">
        <v>100</v>
      </c>
      <c r="H363" s="22"/>
      <c r="I363" s="16"/>
    </row>
    <row r="364" spans="1:9" ht="24" x14ac:dyDescent="0.25">
      <c r="A364" s="28" t="s">
        <v>315</v>
      </c>
      <c r="B364" s="29">
        <v>30000000</v>
      </c>
      <c r="C364" s="28" t="s">
        <v>111</v>
      </c>
      <c r="D364" s="29">
        <v>29304000</v>
      </c>
      <c r="E364" s="29">
        <f>B364-F364</f>
        <v>696000</v>
      </c>
      <c r="F364" s="29">
        <v>29304000</v>
      </c>
      <c r="G364" s="30">
        <v>100</v>
      </c>
      <c r="H364" s="16"/>
      <c r="I364" s="16"/>
    </row>
    <row r="365" spans="1:9" ht="24" x14ac:dyDescent="0.25">
      <c r="A365" s="28" t="s">
        <v>316</v>
      </c>
      <c r="B365" s="29">
        <v>30000000</v>
      </c>
      <c r="C365" s="28" t="s">
        <v>111</v>
      </c>
      <c r="D365" s="29">
        <v>28860000</v>
      </c>
      <c r="E365" s="29">
        <f>B365-F365</f>
        <v>1140000</v>
      </c>
      <c r="F365" s="29">
        <v>28860000</v>
      </c>
      <c r="G365" s="30">
        <v>100</v>
      </c>
      <c r="H365" s="22"/>
      <c r="I365" s="16"/>
    </row>
    <row r="366" spans="1:9" ht="24" x14ac:dyDescent="0.25">
      <c r="A366" s="28" t="s">
        <v>317</v>
      </c>
      <c r="B366" s="29">
        <v>30000000</v>
      </c>
      <c r="C366" s="28" t="s">
        <v>111</v>
      </c>
      <c r="D366" s="29">
        <v>29082000</v>
      </c>
      <c r="E366" s="29">
        <f>B366-F366</f>
        <v>918000</v>
      </c>
      <c r="F366" s="29">
        <v>29082000</v>
      </c>
      <c r="G366" s="30">
        <v>100</v>
      </c>
      <c r="H366" s="22"/>
      <c r="I366" s="16"/>
    </row>
    <row r="367" spans="1:9" ht="24" x14ac:dyDescent="0.25">
      <c r="A367" s="28" t="s">
        <v>318</v>
      </c>
      <c r="B367" s="29">
        <v>30000000</v>
      </c>
      <c r="C367" s="28" t="s">
        <v>111</v>
      </c>
      <c r="D367" s="29">
        <v>29248000</v>
      </c>
      <c r="E367" s="29">
        <f>B367-F367</f>
        <v>752000</v>
      </c>
      <c r="F367" s="29">
        <v>29248000</v>
      </c>
      <c r="G367" s="30">
        <v>100</v>
      </c>
      <c r="H367" s="22"/>
      <c r="I367" s="16"/>
    </row>
    <row r="368" spans="1:9" ht="24" x14ac:dyDescent="0.25">
      <c r="A368" s="28" t="s">
        <v>319</v>
      </c>
      <c r="B368" s="29">
        <v>195000000</v>
      </c>
      <c r="C368" s="28" t="s">
        <v>104</v>
      </c>
      <c r="D368" s="29">
        <v>193400000</v>
      </c>
      <c r="E368" s="29">
        <f>B368-F368</f>
        <v>1600000</v>
      </c>
      <c r="F368" s="29">
        <v>193400000</v>
      </c>
      <c r="G368" s="30">
        <v>100</v>
      </c>
      <c r="H368" s="16"/>
      <c r="I368" s="16"/>
    </row>
    <row r="369" spans="1:14" ht="24" x14ac:dyDescent="0.25">
      <c r="A369" s="28" t="s">
        <v>320</v>
      </c>
      <c r="B369" s="29">
        <v>395000000</v>
      </c>
      <c r="C369" s="28" t="s">
        <v>104</v>
      </c>
      <c r="D369" s="29">
        <v>391500000</v>
      </c>
      <c r="E369" s="29">
        <f>B369-F369</f>
        <v>3500000</v>
      </c>
      <c r="F369" s="29">
        <v>391500000</v>
      </c>
      <c r="G369" s="30">
        <v>100</v>
      </c>
      <c r="H369" s="33"/>
      <c r="I369" s="33"/>
    </row>
    <row r="370" spans="1:14" ht="24" x14ac:dyDescent="0.25">
      <c r="A370" s="28" t="s">
        <v>321</v>
      </c>
      <c r="B370" s="29">
        <v>195000000</v>
      </c>
      <c r="C370" s="28" t="s">
        <v>104</v>
      </c>
      <c r="D370" s="29">
        <v>193300000</v>
      </c>
      <c r="E370" s="29">
        <f>B370-F370</f>
        <v>1700000</v>
      </c>
      <c r="F370" s="29">
        <v>193300000</v>
      </c>
      <c r="G370" s="30">
        <v>100</v>
      </c>
      <c r="H370" s="33"/>
      <c r="I370" s="33"/>
    </row>
    <row r="371" spans="1:14" s="32" customFormat="1" ht="24" x14ac:dyDescent="0.25">
      <c r="A371" s="28" t="s">
        <v>322</v>
      </c>
      <c r="B371" s="29">
        <v>100000000</v>
      </c>
      <c r="C371" s="28" t="s">
        <v>104</v>
      </c>
      <c r="D371" s="29">
        <v>99000000</v>
      </c>
      <c r="E371" s="29">
        <f>B371-F371</f>
        <v>1000000</v>
      </c>
      <c r="F371" s="29">
        <v>99000000</v>
      </c>
      <c r="G371" s="30">
        <v>100</v>
      </c>
      <c r="H371" s="33"/>
      <c r="I371" s="33"/>
      <c r="J371" s="4"/>
      <c r="K371" s="4"/>
      <c r="L371" s="4"/>
      <c r="M371" s="4"/>
      <c r="N371" s="4"/>
    </row>
    <row r="372" spans="1:14" ht="24" x14ac:dyDescent="0.25">
      <c r="A372" s="28" t="s">
        <v>323</v>
      </c>
      <c r="B372" s="29">
        <v>147000000</v>
      </c>
      <c r="C372" s="28" t="s">
        <v>104</v>
      </c>
      <c r="D372" s="29">
        <v>145700000</v>
      </c>
      <c r="E372" s="29">
        <f>B372-F372</f>
        <v>1300000</v>
      </c>
      <c r="F372" s="29">
        <v>145700000</v>
      </c>
      <c r="G372" s="30">
        <v>100</v>
      </c>
      <c r="H372" s="33"/>
      <c r="I372" s="33"/>
    </row>
    <row r="373" spans="1:14" ht="24" x14ac:dyDescent="0.25">
      <c r="A373" s="28" t="s">
        <v>324</v>
      </c>
      <c r="B373" s="29">
        <v>195000000</v>
      </c>
      <c r="C373" s="28" t="s">
        <v>104</v>
      </c>
      <c r="D373" s="29">
        <v>193150000</v>
      </c>
      <c r="E373" s="29">
        <f>B373-F373</f>
        <v>1850000</v>
      </c>
      <c r="F373" s="29">
        <v>193150000</v>
      </c>
      <c r="G373" s="30">
        <v>100</v>
      </c>
      <c r="H373" s="33"/>
      <c r="I373" s="33"/>
    </row>
    <row r="374" spans="1:14" ht="24" x14ac:dyDescent="0.25">
      <c r="A374" s="28" t="s">
        <v>325</v>
      </c>
      <c r="B374" s="29">
        <v>395000000</v>
      </c>
      <c r="C374" s="28" t="s">
        <v>104</v>
      </c>
      <c r="D374" s="29">
        <v>392000000</v>
      </c>
      <c r="E374" s="29">
        <f>B374-F374</f>
        <v>3000000</v>
      </c>
      <c r="F374" s="29">
        <v>392000000</v>
      </c>
      <c r="G374" s="30">
        <v>100</v>
      </c>
      <c r="H374" s="33"/>
      <c r="I374" s="33"/>
      <c r="J374" s="32"/>
      <c r="K374" s="32"/>
      <c r="L374" s="32"/>
      <c r="M374" s="32"/>
      <c r="N374" s="32"/>
    </row>
    <row r="375" spans="1:14" ht="24" x14ac:dyDescent="0.25">
      <c r="A375" s="28" t="s">
        <v>326</v>
      </c>
      <c r="B375" s="29">
        <v>147000000</v>
      </c>
      <c r="C375" s="28" t="s">
        <v>104</v>
      </c>
      <c r="D375" s="29">
        <v>145450000</v>
      </c>
      <c r="E375" s="29">
        <f>B375-F375</f>
        <v>1550000</v>
      </c>
      <c r="F375" s="29">
        <v>145450000</v>
      </c>
      <c r="G375" s="30">
        <v>100</v>
      </c>
      <c r="H375" s="33"/>
      <c r="I375" s="33"/>
    </row>
    <row r="376" spans="1:14" ht="36" x14ac:dyDescent="0.25">
      <c r="A376" s="28" t="s">
        <v>327</v>
      </c>
      <c r="B376" s="29">
        <v>147000000</v>
      </c>
      <c r="C376" s="28" t="s">
        <v>104</v>
      </c>
      <c r="D376" s="29">
        <v>145600000</v>
      </c>
      <c r="E376" s="29">
        <f>B376-F376</f>
        <v>1400000</v>
      </c>
      <c r="F376" s="29">
        <v>145600000</v>
      </c>
      <c r="G376" s="30">
        <v>100</v>
      </c>
      <c r="H376" s="33"/>
      <c r="I376" s="33"/>
    </row>
    <row r="377" spans="1:14" ht="24" x14ac:dyDescent="0.25">
      <c r="A377" s="28" t="s">
        <v>328</v>
      </c>
      <c r="B377" s="29">
        <v>130000000</v>
      </c>
      <c r="C377" s="28" t="s">
        <v>104</v>
      </c>
      <c r="D377" s="29">
        <v>128800000</v>
      </c>
      <c r="E377" s="29">
        <f>B377-F377</f>
        <v>1200000</v>
      </c>
      <c r="F377" s="29">
        <v>128800000</v>
      </c>
      <c r="G377" s="30">
        <v>100</v>
      </c>
      <c r="H377" s="33"/>
      <c r="I377" s="33"/>
    </row>
    <row r="378" spans="1:14" ht="24" x14ac:dyDescent="0.25">
      <c r="A378" s="28" t="s">
        <v>329</v>
      </c>
      <c r="B378" s="29">
        <v>30000000</v>
      </c>
      <c r="C378" s="28" t="s">
        <v>111</v>
      </c>
      <c r="D378" s="29">
        <v>29526000</v>
      </c>
      <c r="E378" s="29">
        <f>B378-F378</f>
        <v>474000</v>
      </c>
      <c r="F378" s="29">
        <v>29526000</v>
      </c>
      <c r="G378" s="30">
        <v>100</v>
      </c>
      <c r="H378" s="33"/>
      <c r="I378" s="16"/>
    </row>
    <row r="379" spans="1:14" ht="24" x14ac:dyDescent="0.25">
      <c r="A379" s="28" t="s">
        <v>330</v>
      </c>
      <c r="B379" s="29">
        <v>0</v>
      </c>
      <c r="C379" s="28" t="s">
        <v>104</v>
      </c>
      <c r="D379" s="29">
        <v>0</v>
      </c>
      <c r="E379" s="29">
        <f>B379-F379</f>
        <v>0</v>
      </c>
      <c r="F379" s="29">
        <v>0</v>
      </c>
      <c r="G379" s="30">
        <v>0</v>
      </c>
      <c r="H379" s="22"/>
      <c r="I379" s="16"/>
    </row>
    <row r="380" spans="1:14" ht="24" x14ac:dyDescent="0.25">
      <c r="A380" s="28" t="s">
        <v>331</v>
      </c>
      <c r="B380" s="29">
        <v>0</v>
      </c>
      <c r="C380" s="28" t="s">
        <v>104</v>
      </c>
      <c r="D380" s="29">
        <v>0</v>
      </c>
      <c r="E380" s="29">
        <f>B380-F380</f>
        <v>0</v>
      </c>
      <c r="F380" s="29">
        <v>0</v>
      </c>
      <c r="G380" s="30">
        <v>0</v>
      </c>
      <c r="H380" s="22"/>
      <c r="I380" s="16"/>
    </row>
    <row r="381" spans="1:14" ht="24" x14ac:dyDescent="0.25">
      <c r="A381" s="28" t="s">
        <v>332</v>
      </c>
      <c r="B381" s="29">
        <v>0</v>
      </c>
      <c r="C381" s="28" t="s">
        <v>104</v>
      </c>
      <c r="D381" s="29">
        <v>0</v>
      </c>
      <c r="E381" s="29">
        <f>B381-F381</f>
        <v>0</v>
      </c>
      <c r="F381" s="29">
        <v>0</v>
      </c>
      <c r="G381" s="30">
        <v>0</v>
      </c>
      <c r="H381" s="22"/>
      <c r="I381" s="16"/>
    </row>
    <row r="382" spans="1:14" ht="24" x14ac:dyDescent="0.25">
      <c r="A382" s="28" t="s">
        <v>333</v>
      </c>
      <c r="B382" s="29">
        <v>0</v>
      </c>
      <c r="C382" s="28" t="s">
        <v>104</v>
      </c>
      <c r="D382" s="29">
        <v>0</v>
      </c>
      <c r="E382" s="29">
        <f>B382-F382</f>
        <v>0</v>
      </c>
      <c r="F382" s="29">
        <v>0</v>
      </c>
      <c r="G382" s="30">
        <v>0</v>
      </c>
      <c r="H382" s="22"/>
      <c r="I382" s="16"/>
    </row>
    <row r="383" spans="1:14" ht="24" x14ac:dyDescent="0.25">
      <c r="A383" s="28" t="s">
        <v>334</v>
      </c>
      <c r="B383" s="29">
        <v>0</v>
      </c>
      <c r="C383" s="28" t="s">
        <v>104</v>
      </c>
      <c r="D383" s="29">
        <v>0</v>
      </c>
      <c r="E383" s="29">
        <f>B383-F383</f>
        <v>0</v>
      </c>
      <c r="F383" s="29">
        <v>0</v>
      </c>
      <c r="G383" s="30">
        <v>0</v>
      </c>
      <c r="H383" s="22"/>
      <c r="I383" s="16"/>
    </row>
    <row r="384" spans="1:14" ht="24" x14ac:dyDescent="0.25">
      <c r="A384" s="28" t="s">
        <v>335</v>
      </c>
      <c r="B384" s="29">
        <v>0</v>
      </c>
      <c r="C384" s="28" t="s">
        <v>104</v>
      </c>
      <c r="D384" s="29">
        <v>0</v>
      </c>
      <c r="E384" s="29">
        <f>B384-F384</f>
        <v>0</v>
      </c>
      <c r="F384" s="29">
        <v>0</v>
      </c>
      <c r="G384" s="30">
        <v>0</v>
      </c>
      <c r="H384" s="22"/>
      <c r="I384" s="16"/>
    </row>
    <row r="385" spans="1:9" ht="24" x14ac:dyDescent="0.25">
      <c r="A385" s="28" t="s">
        <v>336</v>
      </c>
      <c r="B385" s="29">
        <v>0</v>
      </c>
      <c r="C385" s="28" t="s">
        <v>104</v>
      </c>
      <c r="D385" s="29">
        <v>0</v>
      </c>
      <c r="E385" s="29">
        <f>B385-F385</f>
        <v>0</v>
      </c>
      <c r="F385" s="29">
        <v>0</v>
      </c>
      <c r="G385" s="30">
        <v>0</v>
      </c>
      <c r="H385" s="22"/>
      <c r="I385" s="16"/>
    </row>
    <row r="386" spans="1:9" ht="24" x14ac:dyDescent="0.25">
      <c r="A386" s="28" t="s">
        <v>337</v>
      </c>
      <c r="B386" s="29">
        <v>0</v>
      </c>
      <c r="C386" s="28" t="s">
        <v>104</v>
      </c>
      <c r="D386" s="29">
        <v>0</v>
      </c>
      <c r="E386" s="29">
        <f>B386-F386</f>
        <v>0</v>
      </c>
      <c r="F386" s="29">
        <v>0</v>
      </c>
      <c r="G386" s="30">
        <v>0</v>
      </c>
      <c r="H386" s="22"/>
      <c r="I386" s="16"/>
    </row>
    <row r="387" spans="1:9" ht="24" x14ac:dyDescent="0.25">
      <c r="A387" s="28" t="s">
        <v>338</v>
      </c>
      <c r="B387" s="29">
        <v>0</v>
      </c>
      <c r="C387" s="28" t="s">
        <v>104</v>
      </c>
      <c r="D387" s="29">
        <v>0</v>
      </c>
      <c r="E387" s="29">
        <f>B387-F387</f>
        <v>0</v>
      </c>
      <c r="F387" s="29">
        <v>0</v>
      </c>
      <c r="G387" s="30">
        <v>0</v>
      </c>
      <c r="H387" s="22"/>
      <c r="I387" s="16"/>
    </row>
    <row r="388" spans="1:9" ht="24" x14ac:dyDescent="0.25">
      <c r="A388" s="28" t="s">
        <v>339</v>
      </c>
      <c r="B388" s="29">
        <v>0</v>
      </c>
      <c r="C388" s="28" t="s">
        <v>104</v>
      </c>
      <c r="D388" s="29">
        <v>0</v>
      </c>
      <c r="E388" s="29">
        <f>B388-F388</f>
        <v>0</v>
      </c>
      <c r="F388" s="29">
        <v>0</v>
      </c>
      <c r="G388" s="30">
        <v>0</v>
      </c>
      <c r="H388" s="22"/>
      <c r="I388" s="16"/>
    </row>
    <row r="389" spans="1:9" ht="24" x14ac:dyDescent="0.25">
      <c r="A389" s="28" t="s">
        <v>340</v>
      </c>
      <c r="B389" s="29">
        <v>0</v>
      </c>
      <c r="C389" s="28" t="s">
        <v>104</v>
      </c>
      <c r="D389" s="29">
        <v>0</v>
      </c>
      <c r="E389" s="29">
        <f>B389-F389</f>
        <v>0</v>
      </c>
      <c r="F389" s="29">
        <v>0</v>
      </c>
      <c r="G389" s="30">
        <v>0</v>
      </c>
      <c r="H389" s="22"/>
      <c r="I389" s="16"/>
    </row>
    <row r="390" spans="1:9" ht="24" x14ac:dyDescent="0.25">
      <c r="A390" s="28" t="s">
        <v>341</v>
      </c>
      <c r="B390" s="29">
        <v>0</v>
      </c>
      <c r="C390" s="28" t="s">
        <v>104</v>
      </c>
      <c r="D390" s="29">
        <v>0</v>
      </c>
      <c r="E390" s="29">
        <f>B390-F390</f>
        <v>0</v>
      </c>
      <c r="F390" s="29">
        <v>0</v>
      </c>
      <c r="G390" s="30">
        <v>0</v>
      </c>
      <c r="H390" s="22"/>
      <c r="I390" s="16"/>
    </row>
    <row r="391" spans="1:9" ht="24" x14ac:dyDescent="0.25">
      <c r="A391" s="28" t="s">
        <v>342</v>
      </c>
      <c r="B391" s="29">
        <v>0</v>
      </c>
      <c r="C391" s="28" t="s">
        <v>104</v>
      </c>
      <c r="D391" s="29">
        <v>0</v>
      </c>
      <c r="E391" s="29">
        <f>B391-F391</f>
        <v>0</v>
      </c>
      <c r="F391" s="29">
        <v>0</v>
      </c>
      <c r="G391" s="30">
        <v>0</v>
      </c>
      <c r="H391" s="22"/>
      <c r="I391" s="16"/>
    </row>
    <row r="392" spans="1:9" ht="24" x14ac:dyDescent="0.25">
      <c r="A392" s="28" t="s">
        <v>343</v>
      </c>
      <c r="B392" s="29">
        <v>0</v>
      </c>
      <c r="C392" s="28" t="s">
        <v>104</v>
      </c>
      <c r="D392" s="29">
        <v>0</v>
      </c>
      <c r="E392" s="29">
        <f>B392-F392</f>
        <v>0</v>
      </c>
      <c r="F392" s="29">
        <v>0</v>
      </c>
      <c r="G392" s="30">
        <v>0</v>
      </c>
      <c r="H392" s="22"/>
      <c r="I392" s="16"/>
    </row>
    <row r="393" spans="1:9" x14ac:dyDescent="0.25">
      <c r="A393" s="12" t="s">
        <v>344</v>
      </c>
      <c r="B393" s="13">
        <f>SUM(B394)</f>
        <v>19584372300</v>
      </c>
      <c r="C393" s="12"/>
      <c r="D393" s="12"/>
      <c r="E393" s="13">
        <f>E394</f>
        <v>269997322</v>
      </c>
      <c r="F393" s="13">
        <f>F394</f>
        <v>19314374978</v>
      </c>
      <c r="G393" s="14">
        <f>G394</f>
        <v>95.926782762372142</v>
      </c>
      <c r="H393" s="4"/>
      <c r="I393" s="4"/>
    </row>
    <row r="394" spans="1:9" ht="36" x14ac:dyDescent="0.25">
      <c r="A394" s="17" t="s">
        <v>345</v>
      </c>
      <c r="B394" s="18">
        <f>SUM(B395,B397,B400,B436)</f>
        <v>19584372300</v>
      </c>
      <c r="C394" s="19"/>
      <c r="D394" s="20"/>
      <c r="E394" s="18">
        <f>SUM(E395,E397,E400,E436)</f>
        <v>269997322</v>
      </c>
      <c r="F394" s="18">
        <f>SUM(F395,F397,F400,F436)</f>
        <v>19314374978</v>
      </c>
      <c r="G394" s="21">
        <f>AVERAGE(G395,G397,G400,G436)</f>
        <v>95.926782762372142</v>
      </c>
      <c r="H394" s="22"/>
      <c r="I394" s="16"/>
    </row>
    <row r="395" spans="1:9" ht="24" x14ac:dyDescent="0.25">
      <c r="A395" s="23" t="s">
        <v>346</v>
      </c>
      <c r="B395" s="24">
        <f>B396</f>
        <v>35343800</v>
      </c>
      <c r="C395" s="25"/>
      <c r="D395" s="26"/>
      <c r="E395" s="24">
        <f>E396</f>
        <v>5746000</v>
      </c>
      <c r="F395" s="24">
        <f>F396</f>
        <v>29597800</v>
      </c>
      <c r="G395" s="27">
        <f>G396</f>
        <v>90</v>
      </c>
      <c r="H395" s="22"/>
      <c r="I395" s="16"/>
    </row>
    <row r="396" spans="1:9" x14ac:dyDescent="0.25">
      <c r="A396" s="28" t="s">
        <v>14</v>
      </c>
      <c r="B396" s="29">
        <v>35343800</v>
      </c>
      <c r="C396" s="28" t="s">
        <v>15</v>
      </c>
      <c r="D396" s="29">
        <f>F396</f>
        <v>29597800</v>
      </c>
      <c r="E396" s="29">
        <f>B396-F396</f>
        <v>5746000</v>
      </c>
      <c r="F396" s="29">
        <v>29597800</v>
      </c>
      <c r="G396" s="30">
        <v>90</v>
      </c>
      <c r="H396" s="22"/>
      <c r="I396" s="16"/>
    </row>
    <row r="397" spans="1:9" ht="24" x14ac:dyDescent="0.25">
      <c r="A397" s="23" t="s">
        <v>347</v>
      </c>
      <c r="B397" s="24">
        <f>SUM(B398:B399)</f>
        <v>81887000</v>
      </c>
      <c r="C397" s="25"/>
      <c r="D397" s="26"/>
      <c r="E397" s="24">
        <f>SUM(E398:E399)</f>
        <v>512682</v>
      </c>
      <c r="F397" s="24">
        <f>SUM(F398:F399)</f>
        <v>81374318</v>
      </c>
      <c r="G397" s="27">
        <f>AVERAGE(G398)</f>
        <v>100</v>
      </c>
      <c r="H397" s="16"/>
      <c r="I397" s="16"/>
    </row>
    <row r="398" spans="1:9" x14ac:dyDescent="0.25">
      <c r="A398" s="28" t="s">
        <v>348</v>
      </c>
      <c r="B398" s="29">
        <v>57200000</v>
      </c>
      <c r="C398" s="28" t="s">
        <v>93</v>
      </c>
      <c r="D398" s="29">
        <v>57200000</v>
      </c>
      <c r="E398" s="29">
        <f>B398-F398</f>
        <v>0</v>
      </c>
      <c r="F398" s="29">
        <v>57200000</v>
      </c>
      <c r="G398" s="30">
        <f>F398/B398*100</f>
        <v>100</v>
      </c>
      <c r="H398" s="22"/>
      <c r="I398" s="16"/>
    </row>
    <row r="399" spans="1:9" x14ac:dyDescent="0.25">
      <c r="A399" s="28" t="s">
        <v>94</v>
      </c>
      <c r="B399" s="29">
        <f>42800000-18113000</f>
        <v>24687000</v>
      </c>
      <c r="C399" s="28" t="s">
        <v>15</v>
      </c>
      <c r="D399" s="29">
        <f>F399</f>
        <v>24174318</v>
      </c>
      <c r="E399" s="29">
        <f>B399-F399</f>
        <v>512682</v>
      </c>
      <c r="F399" s="29">
        <f>11258018+850000+1160000+5131700+2735000+1402100+1637500</f>
        <v>24174318</v>
      </c>
      <c r="G399" s="30">
        <f>F399/B399*100</f>
        <v>97.923271357394583</v>
      </c>
      <c r="H399" s="22"/>
      <c r="I399" s="16"/>
    </row>
    <row r="400" spans="1:9" ht="36" x14ac:dyDescent="0.25">
      <c r="A400" s="23" t="s">
        <v>349</v>
      </c>
      <c r="B400" s="24">
        <f>SUM(B401:B435)</f>
        <v>19313932300</v>
      </c>
      <c r="C400" s="25"/>
      <c r="D400" s="26"/>
      <c r="E400" s="24">
        <f>SUM(E401:E435)</f>
        <v>234276619</v>
      </c>
      <c r="F400" s="24">
        <f>SUM(F401:F435)</f>
        <v>19079655681</v>
      </c>
      <c r="G400" s="27">
        <f>AVERAGE(G401:G404,G406:G407,G408:G413,G415,G417:G435,G416)</f>
        <v>99.349580001893344</v>
      </c>
      <c r="H400" s="16"/>
      <c r="I400" s="16"/>
    </row>
    <row r="401" spans="1:9" ht="24" x14ac:dyDescent="0.25">
      <c r="A401" s="28" t="s">
        <v>350</v>
      </c>
      <c r="B401" s="29">
        <v>923000000</v>
      </c>
      <c r="C401" s="28" t="s">
        <v>104</v>
      </c>
      <c r="D401" s="29">
        <v>905381000</v>
      </c>
      <c r="E401" s="29">
        <f>B401-F401</f>
        <v>17619000</v>
      </c>
      <c r="F401" s="29">
        <f>271614300+316883350+316883350</f>
        <v>905381000</v>
      </c>
      <c r="G401" s="30">
        <v>100</v>
      </c>
      <c r="H401" s="22"/>
      <c r="I401" s="16"/>
    </row>
    <row r="402" spans="1:9" ht="36" x14ac:dyDescent="0.25">
      <c r="A402" s="28" t="s">
        <v>351</v>
      </c>
      <c r="B402" s="29">
        <v>85000000</v>
      </c>
      <c r="C402" s="28" t="s">
        <v>111</v>
      </c>
      <c r="D402" s="29">
        <v>84165750</v>
      </c>
      <c r="E402" s="29">
        <f>B402-F402</f>
        <v>834250</v>
      </c>
      <c r="F402" s="29">
        <v>84165750</v>
      </c>
      <c r="G402" s="30">
        <f>G412</f>
        <v>100</v>
      </c>
      <c r="H402" s="22"/>
      <c r="I402" s="16"/>
    </row>
    <row r="403" spans="1:9" ht="24" x14ac:dyDescent="0.25">
      <c r="A403" s="28" t="s">
        <v>352</v>
      </c>
      <c r="B403" s="29">
        <v>50000000</v>
      </c>
      <c r="C403" s="28" t="s">
        <v>111</v>
      </c>
      <c r="D403" s="29">
        <v>49173000</v>
      </c>
      <c r="E403" s="29">
        <f>B403-F403</f>
        <v>827000</v>
      </c>
      <c r="F403" s="29">
        <v>49173000</v>
      </c>
      <c r="G403" s="30">
        <v>100</v>
      </c>
      <c r="H403" s="22"/>
      <c r="I403" s="16"/>
    </row>
    <row r="404" spans="1:9" ht="24" x14ac:dyDescent="0.25">
      <c r="A404" s="28" t="s">
        <v>353</v>
      </c>
      <c r="B404" s="29">
        <v>75000000</v>
      </c>
      <c r="C404" s="28" t="s">
        <v>111</v>
      </c>
      <c r="D404" s="29">
        <v>74125800</v>
      </c>
      <c r="E404" s="29">
        <f>B404-F404</f>
        <v>874200</v>
      </c>
      <c r="F404" s="29">
        <v>74125800</v>
      </c>
      <c r="G404" s="30">
        <v>100</v>
      </c>
      <c r="H404" s="22"/>
      <c r="I404" s="16"/>
    </row>
    <row r="405" spans="1:9" ht="24" x14ac:dyDescent="0.25">
      <c r="A405" s="28" t="s">
        <v>354</v>
      </c>
      <c r="B405" s="29">
        <v>0</v>
      </c>
      <c r="C405" s="28" t="s">
        <v>111</v>
      </c>
      <c r="D405" s="29">
        <v>0</v>
      </c>
      <c r="E405" s="29">
        <f>B405-F405</f>
        <v>0</v>
      </c>
      <c r="F405" s="29">
        <v>0</v>
      </c>
      <c r="G405" s="30">
        <v>0</v>
      </c>
      <c r="H405" s="22"/>
      <c r="I405" s="16"/>
    </row>
    <row r="406" spans="1:9" ht="24" x14ac:dyDescent="0.25">
      <c r="A406" s="28" t="s">
        <v>355</v>
      </c>
      <c r="B406" s="29">
        <v>60000000</v>
      </c>
      <c r="C406" s="28" t="s">
        <v>111</v>
      </c>
      <c r="D406" s="29">
        <v>59085300</v>
      </c>
      <c r="E406" s="29">
        <f>B406-F406</f>
        <v>914700</v>
      </c>
      <c r="F406" s="29">
        <v>59085300</v>
      </c>
      <c r="G406" s="30">
        <v>100</v>
      </c>
      <c r="H406" s="22"/>
      <c r="I406" s="16"/>
    </row>
    <row r="407" spans="1:9" ht="36" x14ac:dyDescent="0.25">
      <c r="A407" s="28" t="s">
        <v>356</v>
      </c>
      <c r="B407" s="29">
        <v>50000000</v>
      </c>
      <c r="C407" s="28" t="s">
        <v>111</v>
      </c>
      <c r="D407" s="29">
        <v>49561500</v>
      </c>
      <c r="E407" s="29">
        <f>B407-F407</f>
        <v>438500</v>
      </c>
      <c r="F407" s="29">
        <v>49561500</v>
      </c>
      <c r="G407" s="30">
        <f>G411</f>
        <v>100</v>
      </c>
      <c r="H407" s="22"/>
      <c r="I407" s="16"/>
    </row>
    <row r="408" spans="1:9" ht="24" x14ac:dyDescent="0.25">
      <c r="A408" s="28" t="s">
        <v>357</v>
      </c>
      <c r="B408" s="29">
        <v>70000000</v>
      </c>
      <c r="C408" s="28" t="s">
        <v>111</v>
      </c>
      <c r="D408" s="29">
        <v>68792250</v>
      </c>
      <c r="E408" s="29">
        <f>B408-F408</f>
        <v>1207750</v>
      </c>
      <c r="F408" s="29">
        <v>68792250</v>
      </c>
      <c r="G408" s="30">
        <v>100</v>
      </c>
      <c r="H408" s="22"/>
      <c r="I408" s="16"/>
    </row>
    <row r="409" spans="1:9" ht="24" x14ac:dyDescent="0.25">
      <c r="A409" s="28" t="s">
        <v>358</v>
      </c>
      <c r="B409" s="29">
        <v>55000000</v>
      </c>
      <c r="C409" s="28" t="s">
        <v>111</v>
      </c>
      <c r="D409" s="29">
        <v>54251250</v>
      </c>
      <c r="E409" s="29">
        <f>B409-F409</f>
        <v>748750</v>
      </c>
      <c r="F409" s="29">
        <v>54251250</v>
      </c>
      <c r="G409" s="30">
        <v>100</v>
      </c>
      <c r="H409" s="22"/>
      <c r="I409" s="16"/>
    </row>
    <row r="410" spans="1:9" ht="36" x14ac:dyDescent="0.25">
      <c r="A410" s="28" t="s">
        <v>359</v>
      </c>
      <c r="B410" s="29">
        <v>65000000</v>
      </c>
      <c r="C410" s="28" t="s">
        <v>111</v>
      </c>
      <c r="D410" s="29">
        <v>64047000</v>
      </c>
      <c r="E410" s="29">
        <f>B410-F410</f>
        <v>953000</v>
      </c>
      <c r="F410" s="29">
        <v>64047000</v>
      </c>
      <c r="G410" s="30">
        <v>100</v>
      </c>
      <c r="H410" s="22"/>
      <c r="I410" s="16"/>
    </row>
    <row r="411" spans="1:9" ht="24" x14ac:dyDescent="0.25">
      <c r="A411" s="28" t="s">
        <v>360</v>
      </c>
      <c r="B411" s="29">
        <v>1000000000</v>
      </c>
      <c r="C411" s="28" t="s">
        <v>104</v>
      </c>
      <c r="D411" s="29">
        <v>976224000</v>
      </c>
      <c r="E411" s="29">
        <f>B411-F411</f>
        <v>23776000</v>
      </c>
      <c r="F411" s="29">
        <f>292867200+683356800</f>
        <v>976224000</v>
      </c>
      <c r="G411" s="30">
        <v>100</v>
      </c>
      <c r="H411" s="22"/>
      <c r="I411" s="16"/>
    </row>
    <row r="412" spans="1:9" ht="24" x14ac:dyDescent="0.25">
      <c r="A412" s="28" t="s">
        <v>361</v>
      </c>
      <c r="B412" s="29">
        <v>4865000000</v>
      </c>
      <c r="C412" s="28" t="s">
        <v>104</v>
      </c>
      <c r="D412" s="29">
        <v>4807672000</v>
      </c>
      <c r="E412" s="29">
        <f>B412-F412</f>
        <v>0</v>
      </c>
      <c r="F412" s="29">
        <f>1442301600+1682685200+1740013200</f>
        <v>4865000000</v>
      </c>
      <c r="G412" s="30">
        <v>100</v>
      </c>
      <c r="H412" s="22"/>
      <c r="I412" s="16"/>
    </row>
    <row r="413" spans="1:9" ht="24" x14ac:dyDescent="0.25">
      <c r="A413" s="28" t="s">
        <v>362</v>
      </c>
      <c r="B413" s="29">
        <v>7215000000</v>
      </c>
      <c r="C413" s="28" t="s">
        <v>104</v>
      </c>
      <c r="D413" s="29">
        <v>7176926000</v>
      </c>
      <c r="E413" s="29">
        <f>B413-F413</f>
        <v>38074000</v>
      </c>
      <c r="F413" s="29">
        <f>2123128800+3715475400+1238491800+78414400+21415600</f>
        <v>7176926000</v>
      </c>
      <c r="G413" s="30">
        <v>100</v>
      </c>
      <c r="H413" s="22"/>
      <c r="I413" s="16"/>
    </row>
    <row r="414" spans="1:9" ht="24" x14ac:dyDescent="0.25">
      <c r="A414" s="28" t="s">
        <v>363</v>
      </c>
      <c r="B414" s="29">
        <v>0</v>
      </c>
      <c r="C414" s="28" t="s">
        <v>104</v>
      </c>
      <c r="D414" s="29">
        <f>F414</f>
        <v>0</v>
      </c>
      <c r="E414" s="29">
        <f>B414-F414</f>
        <v>0</v>
      </c>
      <c r="F414" s="29">
        <v>0</v>
      </c>
      <c r="G414" s="30">
        <v>0</v>
      </c>
      <c r="H414" s="22"/>
      <c r="I414" s="16"/>
    </row>
    <row r="415" spans="1:9" ht="24" x14ac:dyDescent="0.25">
      <c r="A415" s="28" t="s">
        <v>364</v>
      </c>
      <c r="B415" s="29">
        <v>3300000000</v>
      </c>
      <c r="C415" s="28" t="s">
        <v>104</v>
      </c>
      <c r="D415" s="29">
        <v>3229384000</v>
      </c>
      <c r="E415" s="29">
        <f>B415-F415</f>
        <v>70616000</v>
      </c>
      <c r="F415" s="29">
        <f>968815200+1130284400+1130284400</f>
        <v>3229384000</v>
      </c>
      <c r="G415" s="30">
        <v>100</v>
      </c>
      <c r="H415" s="22"/>
      <c r="I415" s="16"/>
    </row>
    <row r="416" spans="1:9" x14ac:dyDescent="0.25">
      <c r="A416" s="28" t="s">
        <v>253</v>
      </c>
      <c r="B416" s="29">
        <f>8650300+2970000+57535000+87600000+38040000+101702000+12000000+23435000-65000000</f>
        <v>266932300</v>
      </c>
      <c r="C416" s="28" t="s">
        <v>15</v>
      </c>
      <c r="D416" s="29">
        <f>F416</f>
        <v>209638325</v>
      </c>
      <c r="E416" s="29">
        <f>B416-F416</f>
        <v>57293975</v>
      </c>
      <c r="F416" s="29">
        <f>231053925-21415600</f>
        <v>209638325</v>
      </c>
      <c r="G416" s="30">
        <f>F416/B416*100</f>
        <v>78.536140062480257</v>
      </c>
      <c r="H416" s="22"/>
      <c r="I416" s="16"/>
    </row>
    <row r="417" spans="1:14" ht="24" x14ac:dyDescent="0.25">
      <c r="A417" s="28" t="s">
        <v>365</v>
      </c>
      <c r="B417" s="29">
        <v>65000000</v>
      </c>
      <c r="C417" s="28" t="s">
        <v>111</v>
      </c>
      <c r="D417" s="29">
        <v>64047000</v>
      </c>
      <c r="E417" s="29">
        <f>B417-F417</f>
        <v>953000</v>
      </c>
      <c r="F417" s="29">
        <v>64047000</v>
      </c>
      <c r="G417" s="30">
        <v>100</v>
      </c>
      <c r="H417" s="22"/>
      <c r="I417" s="16"/>
    </row>
    <row r="418" spans="1:14" ht="24" x14ac:dyDescent="0.25">
      <c r="A418" s="28" t="s">
        <v>366</v>
      </c>
      <c r="B418" s="29">
        <v>180000000</v>
      </c>
      <c r="C418" s="28" t="s">
        <v>104</v>
      </c>
      <c r="D418" s="29">
        <v>177430000</v>
      </c>
      <c r="E418" s="29">
        <f>B418-F418</f>
        <v>2570000</v>
      </c>
      <c r="F418" s="29">
        <v>177430000</v>
      </c>
      <c r="G418" s="30">
        <v>100</v>
      </c>
      <c r="H418" s="22"/>
      <c r="I418" s="16"/>
    </row>
    <row r="419" spans="1:14" ht="24" x14ac:dyDescent="0.25">
      <c r="A419" s="28" t="s">
        <v>367</v>
      </c>
      <c r="B419" s="29">
        <v>180000000</v>
      </c>
      <c r="C419" s="28" t="s">
        <v>104</v>
      </c>
      <c r="D419" s="29">
        <v>177561000</v>
      </c>
      <c r="E419" s="29">
        <f>B419-F419</f>
        <v>2439000</v>
      </c>
      <c r="F419" s="29">
        <v>177561000</v>
      </c>
      <c r="G419" s="30">
        <v>100</v>
      </c>
      <c r="H419" s="22"/>
      <c r="I419" s="16"/>
    </row>
    <row r="420" spans="1:14" ht="24" x14ac:dyDescent="0.25">
      <c r="A420" s="28" t="s">
        <v>368</v>
      </c>
      <c r="B420" s="29">
        <v>180000000</v>
      </c>
      <c r="C420" s="28" t="s">
        <v>104</v>
      </c>
      <c r="D420" s="29">
        <v>176472000</v>
      </c>
      <c r="E420" s="29">
        <f>B420-F420</f>
        <v>3528000</v>
      </c>
      <c r="F420" s="29">
        <v>176472000</v>
      </c>
      <c r="G420" s="30">
        <v>100</v>
      </c>
      <c r="H420" s="22"/>
      <c r="I420" s="16"/>
    </row>
    <row r="421" spans="1:14" ht="24" x14ac:dyDescent="0.25">
      <c r="A421" s="28" t="s">
        <v>369</v>
      </c>
      <c r="B421" s="29">
        <v>7500000</v>
      </c>
      <c r="C421" s="28" t="s">
        <v>111</v>
      </c>
      <c r="D421" s="29">
        <v>7300000</v>
      </c>
      <c r="E421" s="29">
        <f>B421-F421</f>
        <v>200000</v>
      </c>
      <c r="F421" s="29">
        <v>7300000</v>
      </c>
      <c r="G421" s="30">
        <v>100</v>
      </c>
      <c r="H421" s="22"/>
      <c r="I421" s="16"/>
    </row>
    <row r="422" spans="1:14" ht="24" x14ac:dyDescent="0.25">
      <c r="A422" s="28" t="s">
        <v>370</v>
      </c>
      <c r="B422" s="29">
        <v>8500000</v>
      </c>
      <c r="C422" s="28" t="s">
        <v>111</v>
      </c>
      <c r="D422" s="29">
        <v>8340000</v>
      </c>
      <c r="E422" s="29">
        <f>B422-F422</f>
        <v>160000</v>
      </c>
      <c r="F422" s="29">
        <v>8340000</v>
      </c>
      <c r="G422" s="30">
        <v>100</v>
      </c>
      <c r="H422" s="22"/>
      <c r="I422" s="16"/>
    </row>
    <row r="423" spans="1:14" ht="24" x14ac:dyDescent="0.25">
      <c r="A423" s="28" t="s">
        <v>371</v>
      </c>
      <c r="B423" s="29">
        <v>7500000</v>
      </c>
      <c r="C423" s="28" t="s">
        <v>111</v>
      </c>
      <c r="D423" s="29">
        <v>7400000</v>
      </c>
      <c r="E423" s="29">
        <f>B423-F423</f>
        <v>100000</v>
      </c>
      <c r="F423" s="29">
        <v>7400000</v>
      </c>
      <c r="G423" s="30">
        <v>100</v>
      </c>
      <c r="H423" s="22"/>
      <c r="I423" s="16"/>
    </row>
    <row r="424" spans="1:14" ht="24" x14ac:dyDescent="0.25">
      <c r="A424" s="28" t="s">
        <v>372</v>
      </c>
      <c r="B424" s="29">
        <v>8500000</v>
      </c>
      <c r="C424" s="28" t="s">
        <v>111</v>
      </c>
      <c r="D424" s="29">
        <v>8340000</v>
      </c>
      <c r="E424" s="29">
        <f>B424-F424</f>
        <v>160000</v>
      </c>
      <c r="F424" s="29">
        <v>8340000</v>
      </c>
      <c r="G424" s="30">
        <f>G419</f>
        <v>100</v>
      </c>
      <c r="H424" s="22"/>
      <c r="I424" s="16"/>
    </row>
    <row r="425" spans="1:14" ht="24" x14ac:dyDescent="0.25">
      <c r="A425" s="28" t="s">
        <v>373</v>
      </c>
      <c r="B425" s="29">
        <v>7500000</v>
      </c>
      <c r="C425" s="28" t="s">
        <v>111</v>
      </c>
      <c r="D425" s="29">
        <v>7300000</v>
      </c>
      <c r="E425" s="29">
        <f>B425-F425</f>
        <v>200000</v>
      </c>
      <c r="F425" s="29">
        <v>7300000</v>
      </c>
      <c r="G425" s="30">
        <v>100</v>
      </c>
      <c r="H425" s="22"/>
      <c r="I425" s="16"/>
    </row>
    <row r="426" spans="1:14" ht="24" x14ac:dyDescent="0.25">
      <c r="A426" s="28" t="s">
        <v>374</v>
      </c>
      <c r="B426" s="29">
        <v>8500000</v>
      </c>
      <c r="C426" s="28" t="s">
        <v>111</v>
      </c>
      <c r="D426" s="29">
        <v>8340000</v>
      </c>
      <c r="E426" s="29">
        <f>B426-F426</f>
        <v>160000</v>
      </c>
      <c r="F426" s="29">
        <v>8340000</v>
      </c>
      <c r="G426" s="30">
        <f>G420</f>
        <v>100</v>
      </c>
      <c r="H426" s="22"/>
      <c r="I426" s="16"/>
    </row>
    <row r="427" spans="1:14" ht="24" x14ac:dyDescent="0.25">
      <c r="A427" s="28" t="s">
        <v>375</v>
      </c>
      <c r="B427" s="29">
        <v>200000000</v>
      </c>
      <c r="C427" s="28" t="s">
        <v>104</v>
      </c>
      <c r="D427" s="29">
        <v>197800000</v>
      </c>
      <c r="E427" s="29">
        <f>B427-F427</f>
        <v>2200000</v>
      </c>
      <c r="F427" s="29">
        <v>197800000</v>
      </c>
      <c r="G427" s="30">
        <v>100</v>
      </c>
      <c r="H427" s="22"/>
      <c r="I427" s="16"/>
    </row>
    <row r="428" spans="1:14" ht="24" x14ac:dyDescent="0.25">
      <c r="A428" s="28" t="s">
        <v>376</v>
      </c>
      <c r="B428" s="29">
        <v>52000000</v>
      </c>
      <c r="C428" s="28" t="s">
        <v>111</v>
      </c>
      <c r="D428" s="29">
        <v>51248700</v>
      </c>
      <c r="E428" s="29">
        <f>B428-F428</f>
        <v>751300</v>
      </c>
      <c r="F428" s="29">
        <v>51248700</v>
      </c>
      <c r="G428" s="30">
        <v>100</v>
      </c>
      <c r="H428" s="22"/>
      <c r="I428" s="16"/>
    </row>
    <row r="429" spans="1:14" ht="24" x14ac:dyDescent="0.25">
      <c r="A429" s="28" t="s">
        <v>377</v>
      </c>
      <c r="B429" s="29">
        <v>52000000</v>
      </c>
      <c r="C429" s="28" t="s">
        <v>111</v>
      </c>
      <c r="D429" s="29">
        <v>50782500</v>
      </c>
      <c r="E429" s="29">
        <f>B429-F429</f>
        <v>1217500</v>
      </c>
      <c r="F429" s="29">
        <v>50782500</v>
      </c>
      <c r="G429" s="30">
        <v>100</v>
      </c>
      <c r="H429" s="22"/>
      <c r="I429" s="16"/>
    </row>
    <row r="430" spans="1:14" ht="24" x14ac:dyDescent="0.25">
      <c r="A430" s="28" t="s">
        <v>378</v>
      </c>
      <c r="B430" s="29">
        <v>7500000</v>
      </c>
      <c r="C430" s="28" t="s">
        <v>111</v>
      </c>
      <c r="D430" s="29">
        <v>7400000</v>
      </c>
      <c r="E430" s="29">
        <f>B430-F430</f>
        <v>100000</v>
      </c>
      <c r="F430" s="29">
        <v>7400000</v>
      </c>
      <c r="G430" s="30">
        <v>100</v>
      </c>
      <c r="H430" s="22"/>
      <c r="I430" s="16"/>
    </row>
    <row r="431" spans="1:14" ht="24" x14ac:dyDescent="0.25">
      <c r="A431" s="28" t="s">
        <v>379</v>
      </c>
      <c r="B431" s="29">
        <v>8500000</v>
      </c>
      <c r="C431" s="28" t="s">
        <v>111</v>
      </c>
      <c r="D431" s="29">
        <v>8339000</v>
      </c>
      <c r="E431" s="29">
        <f>B431-F431</f>
        <v>161000</v>
      </c>
      <c r="F431" s="29">
        <v>8339000</v>
      </c>
      <c r="G431" s="30">
        <f>G427</f>
        <v>100</v>
      </c>
      <c r="H431" s="22"/>
      <c r="I431" s="16"/>
    </row>
    <row r="432" spans="1:14" s="32" customFormat="1" ht="24" x14ac:dyDescent="0.25">
      <c r="A432" s="28" t="s">
        <v>380</v>
      </c>
      <c r="B432" s="29">
        <v>180000000</v>
      </c>
      <c r="C432" s="28" t="s">
        <v>104</v>
      </c>
      <c r="D432" s="29">
        <v>177651000</v>
      </c>
      <c r="E432" s="29">
        <f>B432-F432</f>
        <v>2349000</v>
      </c>
      <c r="F432" s="29">
        <v>177651000</v>
      </c>
      <c r="G432" s="30">
        <v>100</v>
      </c>
      <c r="H432" s="22"/>
      <c r="I432" s="16"/>
      <c r="J432" s="4"/>
      <c r="K432" s="4"/>
      <c r="L432" s="4"/>
      <c r="M432" s="4"/>
      <c r="N432" s="4"/>
    </row>
    <row r="433" spans="1:14" ht="36" x14ac:dyDescent="0.25">
      <c r="A433" s="28" t="s">
        <v>381</v>
      </c>
      <c r="B433" s="29">
        <v>7500000</v>
      </c>
      <c r="C433" s="28" t="s">
        <v>111</v>
      </c>
      <c r="D433" s="29">
        <v>7400000</v>
      </c>
      <c r="E433" s="29">
        <f>B433-F433</f>
        <v>100000</v>
      </c>
      <c r="F433" s="29">
        <v>7400000</v>
      </c>
      <c r="G433" s="30">
        <v>100</v>
      </c>
      <c r="H433" s="22"/>
      <c r="I433" s="16"/>
    </row>
    <row r="434" spans="1:14" ht="36" x14ac:dyDescent="0.25">
      <c r="A434" s="28" t="s">
        <v>382</v>
      </c>
      <c r="B434" s="29">
        <v>8500000</v>
      </c>
      <c r="C434" s="28" t="s">
        <v>111</v>
      </c>
      <c r="D434" s="29">
        <v>8340000</v>
      </c>
      <c r="E434" s="29">
        <f>B434-F434</f>
        <v>160000</v>
      </c>
      <c r="F434" s="29">
        <v>8340000</v>
      </c>
      <c r="G434" s="30">
        <f>G432</f>
        <v>100</v>
      </c>
      <c r="H434" s="22"/>
      <c r="I434" s="16"/>
    </row>
    <row r="435" spans="1:14" ht="24" x14ac:dyDescent="0.25">
      <c r="A435" s="28" t="s">
        <v>383</v>
      </c>
      <c r="B435" s="29">
        <v>65000000</v>
      </c>
      <c r="C435" s="28" t="s">
        <v>111</v>
      </c>
      <c r="D435" s="29">
        <v>62409306</v>
      </c>
      <c r="E435" s="29">
        <f>B435-F435</f>
        <v>2590694</v>
      </c>
      <c r="F435" s="29">
        <v>62409306</v>
      </c>
      <c r="G435" s="30">
        <v>100</v>
      </c>
      <c r="H435" s="22"/>
      <c r="I435" s="16"/>
      <c r="J435" s="32"/>
      <c r="K435" s="32"/>
      <c r="L435" s="32"/>
      <c r="M435" s="32"/>
      <c r="N435" s="32"/>
    </row>
    <row r="436" spans="1:14" ht="30.75" customHeight="1" x14ac:dyDescent="0.25">
      <c r="A436" s="23" t="s">
        <v>384</v>
      </c>
      <c r="B436" s="24">
        <f>SUM(B437:B438)</f>
        <v>153209200</v>
      </c>
      <c r="C436" s="25"/>
      <c r="D436" s="26"/>
      <c r="E436" s="24">
        <f>SUM(E437:E438)</f>
        <v>29462021</v>
      </c>
      <c r="F436" s="24">
        <f>SUM(F437:F438)</f>
        <v>123747179</v>
      </c>
      <c r="G436" s="27">
        <f>AVERAGE(G437:G438)</f>
        <v>94.357551047595194</v>
      </c>
      <c r="H436" s="16"/>
      <c r="I436" s="16"/>
    </row>
    <row r="437" spans="1:14" ht="27" customHeight="1" x14ac:dyDescent="0.25">
      <c r="A437" s="28" t="s">
        <v>92</v>
      </c>
      <c r="B437" s="29">
        <v>28600000</v>
      </c>
      <c r="C437" s="28" t="s">
        <v>93</v>
      </c>
      <c r="D437" s="29">
        <f>B437</f>
        <v>28600000</v>
      </c>
      <c r="E437" s="29">
        <f>B437-F437</f>
        <v>15400000</v>
      </c>
      <c r="F437" s="29">
        <f>2200000*6</f>
        <v>13200000</v>
      </c>
      <c r="G437" s="30">
        <v>100</v>
      </c>
      <c r="H437" s="22"/>
      <c r="I437" s="16"/>
    </row>
    <row r="438" spans="1:14" x14ac:dyDescent="0.25">
      <c r="A438" s="28" t="s">
        <v>94</v>
      </c>
      <c r="B438" s="29">
        <v>124609200</v>
      </c>
      <c r="C438" s="28" t="s">
        <v>15</v>
      </c>
      <c r="D438" s="29">
        <v>0</v>
      </c>
      <c r="E438" s="29">
        <f>B438-F438</f>
        <v>14062021</v>
      </c>
      <c r="F438" s="29">
        <f>58330760+12716500+6649400+9983319+12446300+10420900</f>
        <v>110547179</v>
      </c>
      <c r="G438" s="30">
        <f>F438/B438*100</f>
        <v>88.715102095190403</v>
      </c>
      <c r="H438" s="22"/>
      <c r="I438" s="16"/>
    </row>
    <row r="439" spans="1:14" x14ac:dyDescent="0.25">
      <c r="A439" s="12" t="s">
        <v>385</v>
      </c>
      <c r="B439" s="13">
        <f>SUM(B440)</f>
        <v>8609756000</v>
      </c>
      <c r="C439" s="12"/>
      <c r="D439" s="13"/>
      <c r="E439" s="13">
        <f>SUM(E440)</f>
        <v>269078148</v>
      </c>
      <c r="F439" s="13">
        <f>SUM(F440)</f>
        <v>8340677852</v>
      </c>
      <c r="G439" s="14">
        <f>AVERAGE(G440)</f>
        <v>98.582450887325336</v>
      </c>
      <c r="H439" s="22"/>
      <c r="I439" s="16"/>
    </row>
    <row r="440" spans="1:14" ht="24" x14ac:dyDescent="0.25">
      <c r="A440" s="17" t="s">
        <v>386</v>
      </c>
      <c r="B440" s="18">
        <f>SUM(B441)</f>
        <v>8609756000</v>
      </c>
      <c r="C440" s="19"/>
      <c r="D440" s="20"/>
      <c r="E440" s="18">
        <f>SUM(E441)</f>
        <v>269078148</v>
      </c>
      <c r="F440" s="18">
        <f>SUM(F441)</f>
        <v>8340677852</v>
      </c>
      <c r="G440" s="21">
        <f>AVERAGE(G441)</f>
        <v>98.582450887325336</v>
      </c>
      <c r="H440" s="22"/>
      <c r="I440" s="16"/>
    </row>
    <row r="441" spans="1:14" ht="36" x14ac:dyDescent="0.25">
      <c r="A441" s="23" t="s">
        <v>387</v>
      </c>
      <c r="B441" s="24">
        <f>SUM(B442:B455)</f>
        <v>8609756000</v>
      </c>
      <c r="C441" s="25"/>
      <c r="D441" s="26"/>
      <c r="E441" s="24">
        <f>SUM(E442:E455)</f>
        <v>269078148</v>
      </c>
      <c r="F441" s="24">
        <f>SUM(F442:F455)</f>
        <v>8340677852</v>
      </c>
      <c r="G441" s="27">
        <f>AVERAGE(G442:G455)</f>
        <v>98.582450887325336</v>
      </c>
      <c r="H441" s="16"/>
      <c r="I441" s="16"/>
    </row>
    <row r="442" spans="1:14" ht="24" x14ac:dyDescent="0.25">
      <c r="A442" s="28" t="s">
        <v>388</v>
      </c>
      <c r="B442" s="29">
        <v>100000000</v>
      </c>
      <c r="C442" s="28" t="s">
        <v>111</v>
      </c>
      <c r="D442" s="29">
        <v>99345000</v>
      </c>
      <c r="E442" s="29">
        <f>B442-F442</f>
        <v>655000</v>
      </c>
      <c r="F442" s="29">
        <v>99345000</v>
      </c>
      <c r="G442" s="30">
        <v>100</v>
      </c>
      <c r="H442" s="22"/>
      <c r="I442" s="16"/>
    </row>
    <row r="443" spans="1:14" ht="24" x14ac:dyDescent="0.25">
      <c r="A443" s="28" t="s">
        <v>389</v>
      </c>
      <c r="B443" s="29">
        <v>80000000</v>
      </c>
      <c r="C443" s="28" t="s">
        <v>111</v>
      </c>
      <c r="D443" s="29">
        <v>79170750</v>
      </c>
      <c r="E443" s="29">
        <f>B443-F443</f>
        <v>829250</v>
      </c>
      <c r="F443" s="29">
        <v>79170750</v>
      </c>
      <c r="G443" s="30">
        <v>100</v>
      </c>
      <c r="H443" s="22"/>
      <c r="I443" s="16"/>
    </row>
    <row r="444" spans="1:14" ht="24" x14ac:dyDescent="0.25">
      <c r="A444" s="28" t="s">
        <v>390</v>
      </c>
      <c r="B444" s="29">
        <v>100000000</v>
      </c>
      <c r="C444" s="28" t="s">
        <v>111</v>
      </c>
      <c r="D444" s="29">
        <v>99345000</v>
      </c>
      <c r="E444" s="29">
        <f>B444-F444</f>
        <v>655000</v>
      </c>
      <c r="F444" s="29">
        <v>99345000</v>
      </c>
      <c r="G444" s="30">
        <f>G445</f>
        <v>100</v>
      </c>
      <c r="H444" s="22"/>
      <c r="I444" s="16"/>
    </row>
    <row r="445" spans="1:14" ht="24" x14ac:dyDescent="0.25">
      <c r="A445" s="28" t="s">
        <v>391</v>
      </c>
      <c r="B445" s="29">
        <v>7500000000</v>
      </c>
      <c r="C445" s="28" t="s">
        <v>104</v>
      </c>
      <c r="D445" s="29">
        <v>7298930000</v>
      </c>
      <c r="E445" s="29">
        <f>B445-F445</f>
        <v>201070000</v>
      </c>
      <c r="F445" s="29">
        <v>7298930000</v>
      </c>
      <c r="G445" s="30">
        <v>100</v>
      </c>
      <c r="H445" s="22"/>
      <c r="I445" s="16"/>
    </row>
    <row r="446" spans="1:14" ht="24" x14ac:dyDescent="0.25">
      <c r="A446" s="28" t="s">
        <v>392</v>
      </c>
      <c r="B446" s="29">
        <v>10000000</v>
      </c>
      <c r="C446" s="28" t="s">
        <v>111</v>
      </c>
      <c r="D446" s="29">
        <v>9800000</v>
      </c>
      <c r="E446" s="29">
        <f>B446-F446</f>
        <v>200000</v>
      </c>
      <c r="F446" s="29">
        <v>9800000</v>
      </c>
      <c r="G446" s="30">
        <v>100</v>
      </c>
      <c r="H446" s="22"/>
      <c r="I446" s="16"/>
    </row>
    <row r="447" spans="1:14" ht="24" x14ac:dyDescent="0.25">
      <c r="A447" s="28" t="s">
        <v>393</v>
      </c>
      <c r="B447" s="29">
        <v>10000000</v>
      </c>
      <c r="C447" s="28" t="s">
        <v>111</v>
      </c>
      <c r="D447" s="29">
        <v>9600000</v>
      </c>
      <c r="E447" s="29">
        <f>B447-F447</f>
        <v>400000</v>
      </c>
      <c r="F447" s="29">
        <v>9600000</v>
      </c>
      <c r="G447" s="30">
        <v>100</v>
      </c>
      <c r="H447" s="22"/>
      <c r="I447" s="16"/>
    </row>
    <row r="448" spans="1:14" ht="24" x14ac:dyDescent="0.25">
      <c r="A448" s="28" t="s">
        <v>394</v>
      </c>
      <c r="B448" s="29">
        <v>150000000</v>
      </c>
      <c r="C448" s="28" t="s">
        <v>104</v>
      </c>
      <c r="D448" s="29">
        <v>148741000</v>
      </c>
      <c r="E448" s="29">
        <f>B448-F448</f>
        <v>1259000</v>
      </c>
      <c r="F448" s="29">
        <v>148741000</v>
      </c>
      <c r="G448" s="30">
        <v>100</v>
      </c>
      <c r="H448" s="22"/>
      <c r="I448" s="16"/>
    </row>
    <row r="449" spans="1:14" ht="24" x14ac:dyDescent="0.25">
      <c r="A449" s="28" t="s">
        <v>395</v>
      </c>
      <c r="B449" s="29">
        <v>10000000</v>
      </c>
      <c r="C449" s="28" t="s">
        <v>111</v>
      </c>
      <c r="D449" s="29">
        <v>9800000</v>
      </c>
      <c r="E449" s="29">
        <f>B449-F449</f>
        <v>200000</v>
      </c>
      <c r="F449" s="29">
        <v>9800000</v>
      </c>
      <c r="G449" s="30">
        <v>100</v>
      </c>
      <c r="H449" s="22"/>
      <c r="I449" s="16"/>
    </row>
    <row r="450" spans="1:14" ht="24" x14ac:dyDescent="0.25">
      <c r="A450" s="28" t="s">
        <v>396</v>
      </c>
      <c r="B450" s="29">
        <v>10000000</v>
      </c>
      <c r="C450" s="28" t="s">
        <v>111</v>
      </c>
      <c r="D450" s="29">
        <v>9680000</v>
      </c>
      <c r="E450" s="29">
        <f>B450-F450</f>
        <v>320000</v>
      </c>
      <c r="F450" s="29">
        <v>9680000</v>
      </c>
      <c r="G450" s="30">
        <f>G451</f>
        <v>100</v>
      </c>
      <c r="H450" s="22"/>
      <c r="I450" s="16"/>
    </row>
    <row r="451" spans="1:14" s="32" customFormat="1" ht="24" x14ac:dyDescent="0.25">
      <c r="A451" s="28" t="s">
        <v>397</v>
      </c>
      <c r="B451" s="29">
        <v>150000000</v>
      </c>
      <c r="C451" s="28" t="s">
        <v>104</v>
      </c>
      <c r="D451" s="29">
        <v>148677000</v>
      </c>
      <c r="E451" s="29">
        <f>B451-F451</f>
        <v>1323000</v>
      </c>
      <c r="F451" s="29">
        <v>148677000</v>
      </c>
      <c r="G451" s="30">
        <v>100</v>
      </c>
      <c r="H451" s="22"/>
      <c r="I451" s="16"/>
      <c r="J451" s="4"/>
      <c r="K451" s="4"/>
      <c r="L451" s="4"/>
      <c r="M451" s="4"/>
      <c r="N451" s="4"/>
    </row>
    <row r="452" spans="1:14" x14ac:dyDescent="0.25">
      <c r="A452" s="28" t="s">
        <v>398</v>
      </c>
      <c r="B452" s="29">
        <f>57836500+64000000+66340000+48789500+6000000+50790000</f>
        <v>293756000</v>
      </c>
      <c r="C452" s="28" t="s">
        <v>15</v>
      </c>
      <c r="D452" s="29">
        <f>F452</f>
        <v>235458102</v>
      </c>
      <c r="E452" s="29">
        <f>B452-F452</f>
        <v>58297898</v>
      </c>
      <c r="F452" s="29">
        <v>235458102</v>
      </c>
      <c r="G452" s="30">
        <f>F452/B452*100</f>
        <v>80.154312422554767</v>
      </c>
      <c r="H452" s="22"/>
      <c r="I452" s="16"/>
    </row>
    <row r="453" spans="1:14" ht="24" x14ac:dyDescent="0.25">
      <c r="A453" s="28" t="s">
        <v>399</v>
      </c>
      <c r="B453" s="29">
        <v>180000000</v>
      </c>
      <c r="C453" s="28" t="s">
        <v>104</v>
      </c>
      <c r="D453" s="29">
        <v>176581000</v>
      </c>
      <c r="E453" s="29">
        <f>B453-F453</f>
        <v>3419000</v>
      </c>
      <c r="F453" s="29">
        <v>176581000</v>
      </c>
      <c r="G453" s="30">
        <v>100</v>
      </c>
      <c r="H453" s="22"/>
      <c r="I453" s="16"/>
    </row>
    <row r="454" spans="1:14" ht="24" x14ac:dyDescent="0.25">
      <c r="A454" s="28" t="s">
        <v>400</v>
      </c>
      <c r="B454" s="29">
        <v>7500000</v>
      </c>
      <c r="C454" s="28" t="s">
        <v>111</v>
      </c>
      <c r="D454" s="29">
        <v>7200000</v>
      </c>
      <c r="E454" s="29">
        <f>B454-F454</f>
        <v>300000</v>
      </c>
      <c r="F454" s="29">
        <v>7200000</v>
      </c>
      <c r="G454" s="30">
        <v>100</v>
      </c>
      <c r="H454" s="22"/>
      <c r="I454" s="16"/>
      <c r="J454" s="32"/>
      <c r="K454" s="32"/>
      <c r="L454" s="32"/>
      <c r="M454" s="32"/>
      <c r="N454" s="32"/>
    </row>
    <row r="455" spans="1:14" ht="24" x14ac:dyDescent="0.25">
      <c r="A455" s="28" t="s">
        <v>401</v>
      </c>
      <c r="B455" s="29">
        <v>8500000</v>
      </c>
      <c r="C455" s="28" t="s">
        <v>111</v>
      </c>
      <c r="D455" s="29">
        <v>8350000</v>
      </c>
      <c r="E455" s="29">
        <f>B455-F455</f>
        <v>150000</v>
      </c>
      <c r="F455" s="29">
        <v>8350000</v>
      </c>
      <c r="G455" s="30">
        <f>G453</f>
        <v>100</v>
      </c>
      <c r="H455" s="22"/>
      <c r="I455" s="16"/>
    </row>
    <row r="456" spans="1:14" x14ac:dyDescent="0.25">
      <c r="A456" s="12" t="s">
        <v>402</v>
      </c>
      <c r="B456" s="13">
        <f>SUM(B457)</f>
        <v>173820535520</v>
      </c>
      <c r="C456" s="12"/>
      <c r="D456" s="13"/>
      <c r="E456" s="13">
        <f>SUM(E457)</f>
        <v>4374064968</v>
      </c>
      <c r="F456" s="13">
        <f>SUM(F457)</f>
        <v>169446470552</v>
      </c>
      <c r="G456" s="14">
        <f>G457</f>
        <v>99.308185521159587</v>
      </c>
      <c r="H456" s="22"/>
      <c r="I456" s="16"/>
    </row>
    <row r="457" spans="1:14" x14ac:dyDescent="0.25">
      <c r="A457" s="17" t="s">
        <v>403</v>
      </c>
      <c r="B457" s="18">
        <f>SUM(B458,B532,B936,B954,B976,B1003)</f>
        <v>173820535520</v>
      </c>
      <c r="C457" s="19"/>
      <c r="D457" s="20"/>
      <c r="E457" s="18">
        <f>SUM(E458,E532,E936,E954,E976,E1003)</f>
        <v>4374064968</v>
      </c>
      <c r="F457" s="18">
        <f>SUM(F458,F532,F936,F954,F976,F1003)</f>
        <v>169446470552</v>
      </c>
      <c r="G457" s="21">
        <f>AVERAGE(G458,G532,G936,G954,G976,G1003)</f>
        <v>99.308185521159587</v>
      </c>
      <c r="H457" s="22"/>
      <c r="I457" s="16"/>
    </row>
    <row r="458" spans="1:14" x14ac:dyDescent="0.25">
      <c r="A458" s="23" t="s">
        <v>404</v>
      </c>
      <c r="B458" s="24">
        <f>SUM(B459:B517)</f>
        <v>13915500000</v>
      </c>
      <c r="C458" s="25"/>
      <c r="D458" s="26"/>
      <c r="E458" s="24">
        <f>SUM(E459:E531)</f>
        <v>515584113</v>
      </c>
      <c r="F458" s="24">
        <f>SUM(F459:F531)</f>
        <v>13399915887</v>
      </c>
      <c r="G458" s="27">
        <f>AVERAGE(G459:G485,G487:G517)</f>
        <v>98.828323785989738</v>
      </c>
      <c r="H458" s="22"/>
      <c r="I458" s="16"/>
    </row>
    <row r="459" spans="1:14" ht="24" x14ac:dyDescent="0.25">
      <c r="A459" s="28" t="s">
        <v>405</v>
      </c>
      <c r="B459" s="29">
        <v>195000000</v>
      </c>
      <c r="C459" s="28" t="s">
        <v>104</v>
      </c>
      <c r="D459" s="29">
        <v>192070000</v>
      </c>
      <c r="E459" s="29">
        <f>B459-F459</f>
        <v>2930000</v>
      </c>
      <c r="F459" s="29">
        <v>192070000</v>
      </c>
      <c r="G459" s="30">
        <v>100</v>
      </c>
      <c r="H459" s="22"/>
      <c r="I459" s="16"/>
    </row>
    <row r="460" spans="1:14" ht="24" x14ac:dyDescent="0.25">
      <c r="A460" s="28" t="s">
        <v>406</v>
      </c>
      <c r="B460" s="29">
        <v>195000000</v>
      </c>
      <c r="C460" s="28" t="s">
        <v>104</v>
      </c>
      <c r="D460" s="29">
        <v>192450000</v>
      </c>
      <c r="E460" s="29">
        <f>B460-F460</f>
        <v>2550000</v>
      </c>
      <c r="F460" s="29">
        <v>192450000</v>
      </c>
      <c r="G460" s="30">
        <v>100</v>
      </c>
      <c r="H460" s="22"/>
      <c r="I460" s="16"/>
    </row>
    <row r="461" spans="1:14" ht="24" x14ac:dyDescent="0.25">
      <c r="A461" s="28" t="s">
        <v>407</v>
      </c>
      <c r="B461" s="29">
        <v>195000000</v>
      </c>
      <c r="C461" s="28" t="s">
        <v>104</v>
      </c>
      <c r="D461" s="29">
        <v>193250000</v>
      </c>
      <c r="E461" s="29">
        <f>B461-F461</f>
        <v>1750000</v>
      </c>
      <c r="F461" s="29">
        <v>193250000</v>
      </c>
      <c r="G461" s="30">
        <v>100</v>
      </c>
      <c r="H461" s="22"/>
      <c r="I461" s="16"/>
    </row>
    <row r="462" spans="1:14" ht="24" x14ac:dyDescent="0.25">
      <c r="A462" s="28" t="s">
        <v>408</v>
      </c>
      <c r="B462" s="29">
        <v>147000000</v>
      </c>
      <c r="C462" s="28" t="s">
        <v>104</v>
      </c>
      <c r="D462" s="29">
        <v>145330000</v>
      </c>
      <c r="E462" s="29">
        <f>B462-F462</f>
        <v>1670000</v>
      </c>
      <c r="F462" s="29">
        <v>145330000</v>
      </c>
      <c r="G462" s="30">
        <v>100</v>
      </c>
      <c r="H462" s="22"/>
      <c r="I462" s="16"/>
    </row>
    <row r="463" spans="1:14" ht="24" x14ac:dyDescent="0.25">
      <c r="A463" s="28" t="s">
        <v>409</v>
      </c>
      <c r="B463" s="29">
        <v>485000000</v>
      </c>
      <c r="C463" s="28" t="s">
        <v>104</v>
      </c>
      <c r="D463" s="29">
        <v>478717000</v>
      </c>
      <c r="E463" s="29">
        <f>B463-F463</f>
        <v>6283000</v>
      </c>
      <c r="F463" s="29">
        <v>478717000</v>
      </c>
      <c r="G463" s="30">
        <v>100</v>
      </c>
      <c r="H463" s="22"/>
      <c r="I463" s="16"/>
    </row>
    <row r="464" spans="1:14" ht="24" x14ac:dyDescent="0.25">
      <c r="A464" s="28" t="s">
        <v>410</v>
      </c>
      <c r="B464" s="29">
        <v>147000000</v>
      </c>
      <c r="C464" s="28" t="s">
        <v>104</v>
      </c>
      <c r="D464" s="29">
        <v>145520000</v>
      </c>
      <c r="E464" s="29">
        <f>B464-F464</f>
        <v>1480000</v>
      </c>
      <c r="F464" s="29">
        <v>145520000</v>
      </c>
      <c r="G464" s="30">
        <v>100</v>
      </c>
      <c r="H464" s="22"/>
      <c r="I464" s="16"/>
    </row>
    <row r="465" spans="1:9" ht="24" x14ac:dyDescent="0.25">
      <c r="A465" s="28" t="s">
        <v>411</v>
      </c>
      <c r="B465" s="29">
        <v>195000000</v>
      </c>
      <c r="C465" s="28" t="s">
        <v>104</v>
      </c>
      <c r="D465" s="29">
        <v>191904000</v>
      </c>
      <c r="E465" s="29">
        <f>B465-F465</f>
        <v>3096000</v>
      </c>
      <c r="F465" s="29">
        <v>191904000</v>
      </c>
      <c r="G465" s="30">
        <v>100</v>
      </c>
      <c r="H465" s="22"/>
      <c r="I465" s="16"/>
    </row>
    <row r="466" spans="1:9" ht="24" x14ac:dyDescent="0.25">
      <c r="A466" s="28" t="s">
        <v>412</v>
      </c>
      <c r="B466" s="29">
        <v>147000000</v>
      </c>
      <c r="C466" s="28" t="s">
        <v>104</v>
      </c>
      <c r="D466" s="29">
        <v>145105000</v>
      </c>
      <c r="E466" s="29">
        <f>B466-F466</f>
        <v>1895000</v>
      </c>
      <c r="F466" s="29">
        <v>145105000</v>
      </c>
      <c r="G466" s="30">
        <v>100</v>
      </c>
      <c r="H466" s="22"/>
      <c r="I466" s="16"/>
    </row>
    <row r="467" spans="1:9" ht="24" x14ac:dyDescent="0.25">
      <c r="A467" s="28" t="s">
        <v>413</v>
      </c>
      <c r="B467" s="29">
        <v>195000000</v>
      </c>
      <c r="C467" s="28" t="s">
        <v>104</v>
      </c>
      <c r="D467" s="29">
        <v>192190000</v>
      </c>
      <c r="E467" s="29">
        <f>B467-F467</f>
        <v>2810000</v>
      </c>
      <c r="F467" s="29">
        <v>192190000</v>
      </c>
      <c r="G467" s="30">
        <v>100</v>
      </c>
      <c r="H467" s="22"/>
      <c r="I467" s="16"/>
    </row>
    <row r="468" spans="1:9" ht="24" x14ac:dyDescent="0.25">
      <c r="A468" s="28" t="s">
        <v>414</v>
      </c>
      <c r="B468" s="29">
        <v>195000000</v>
      </c>
      <c r="C468" s="28" t="s">
        <v>104</v>
      </c>
      <c r="D468" s="29">
        <v>192951000</v>
      </c>
      <c r="E468" s="29">
        <f>B468-F468</f>
        <v>2049000</v>
      </c>
      <c r="F468" s="29">
        <v>192951000</v>
      </c>
      <c r="G468" s="30">
        <v>100</v>
      </c>
      <c r="H468" s="22"/>
      <c r="I468" s="16"/>
    </row>
    <row r="469" spans="1:9" ht="24" x14ac:dyDescent="0.25">
      <c r="A469" s="28" t="s">
        <v>415</v>
      </c>
      <c r="B469" s="29">
        <v>100000000</v>
      </c>
      <c r="C469" s="28" t="s">
        <v>104</v>
      </c>
      <c r="D469" s="29">
        <v>98108000</v>
      </c>
      <c r="E469" s="29">
        <f>B469-F469</f>
        <v>1892000</v>
      </c>
      <c r="F469" s="29">
        <v>98108000</v>
      </c>
      <c r="G469" s="30">
        <v>100</v>
      </c>
      <c r="H469" s="22"/>
      <c r="I469" s="16"/>
    </row>
    <row r="470" spans="1:9" ht="24" x14ac:dyDescent="0.25">
      <c r="A470" s="28" t="s">
        <v>416</v>
      </c>
      <c r="B470" s="29">
        <v>172000000</v>
      </c>
      <c r="C470" s="28" t="s">
        <v>104</v>
      </c>
      <c r="D470" s="29">
        <v>170300000</v>
      </c>
      <c r="E470" s="29">
        <f>B470-F470</f>
        <v>1700000</v>
      </c>
      <c r="F470" s="29">
        <v>170300000</v>
      </c>
      <c r="G470" s="30">
        <v>100</v>
      </c>
      <c r="H470" s="22"/>
      <c r="I470" s="16"/>
    </row>
    <row r="471" spans="1:9" ht="24" x14ac:dyDescent="0.25">
      <c r="A471" s="28" t="s">
        <v>417</v>
      </c>
      <c r="B471" s="29">
        <v>485000000</v>
      </c>
      <c r="C471" s="28" t="s">
        <v>104</v>
      </c>
      <c r="D471" s="29">
        <v>477782000</v>
      </c>
      <c r="E471" s="29">
        <f>B471-F471</f>
        <v>7218000</v>
      </c>
      <c r="F471" s="29">
        <v>477782000</v>
      </c>
      <c r="G471" s="30">
        <v>100</v>
      </c>
      <c r="H471" s="22"/>
      <c r="I471" s="16"/>
    </row>
    <row r="472" spans="1:9" ht="24" x14ac:dyDescent="0.25">
      <c r="A472" s="28" t="s">
        <v>418</v>
      </c>
      <c r="B472" s="29">
        <v>162000000</v>
      </c>
      <c r="C472" s="28" t="s">
        <v>104</v>
      </c>
      <c r="D472" s="29">
        <v>160500000</v>
      </c>
      <c r="E472" s="29">
        <f>B472-F472</f>
        <v>1500000</v>
      </c>
      <c r="F472" s="29">
        <v>160500000</v>
      </c>
      <c r="G472" s="30">
        <v>100</v>
      </c>
      <c r="H472" s="22"/>
      <c r="I472" s="16"/>
    </row>
    <row r="473" spans="1:9" ht="24" x14ac:dyDescent="0.25">
      <c r="A473" s="28" t="s">
        <v>419</v>
      </c>
      <c r="B473" s="29">
        <v>485000000</v>
      </c>
      <c r="C473" s="28" t="s">
        <v>104</v>
      </c>
      <c r="D473" s="29">
        <v>469407776</v>
      </c>
      <c r="E473" s="29">
        <f>B473-F473</f>
        <v>15592224</v>
      </c>
      <c r="F473" s="29">
        <v>469407776</v>
      </c>
      <c r="G473" s="30">
        <v>100</v>
      </c>
      <c r="H473" s="22"/>
      <c r="I473" s="16"/>
    </row>
    <row r="474" spans="1:9" ht="24" x14ac:dyDescent="0.25">
      <c r="A474" s="28" t="s">
        <v>420</v>
      </c>
      <c r="B474" s="29">
        <v>147000000</v>
      </c>
      <c r="C474" s="28" t="s">
        <v>104</v>
      </c>
      <c r="D474" s="29">
        <v>145700000</v>
      </c>
      <c r="E474" s="29">
        <f>B474-F474</f>
        <v>1300000</v>
      </c>
      <c r="F474" s="29">
        <v>145700000</v>
      </c>
      <c r="G474" s="30">
        <v>100</v>
      </c>
      <c r="H474" s="22"/>
      <c r="I474" s="16"/>
    </row>
    <row r="475" spans="1:9" ht="24" x14ac:dyDescent="0.25">
      <c r="A475" s="28" t="s">
        <v>421</v>
      </c>
      <c r="B475" s="29">
        <v>147000000</v>
      </c>
      <c r="C475" s="28" t="s">
        <v>104</v>
      </c>
      <c r="D475" s="29">
        <v>145720000</v>
      </c>
      <c r="E475" s="29">
        <f>B475-F475</f>
        <v>1280000</v>
      </c>
      <c r="F475" s="29">
        <v>145720000</v>
      </c>
      <c r="G475" s="30">
        <v>100</v>
      </c>
      <c r="H475" s="22"/>
      <c r="I475" s="16"/>
    </row>
    <row r="476" spans="1:9" ht="24" x14ac:dyDescent="0.25">
      <c r="A476" s="28" t="s">
        <v>422</v>
      </c>
      <c r="B476" s="29">
        <v>195000000</v>
      </c>
      <c r="C476" s="28" t="s">
        <v>104</v>
      </c>
      <c r="D476" s="29">
        <v>193250000</v>
      </c>
      <c r="E476" s="29">
        <f>B476-F476</f>
        <v>1750000</v>
      </c>
      <c r="F476" s="29">
        <v>193250000</v>
      </c>
      <c r="G476" s="30">
        <v>100</v>
      </c>
      <c r="H476" s="22"/>
      <c r="I476" s="16"/>
    </row>
    <row r="477" spans="1:9" ht="24" x14ac:dyDescent="0.25">
      <c r="A477" s="28" t="s">
        <v>423</v>
      </c>
      <c r="B477" s="29">
        <v>195000000</v>
      </c>
      <c r="C477" s="28" t="s">
        <v>104</v>
      </c>
      <c r="D477" s="29">
        <v>193250000</v>
      </c>
      <c r="E477" s="29">
        <f>B477-F477</f>
        <v>1750000</v>
      </c>
      <c r="F477" s="29">
        <v>193250000</v>
      </c>
      <c r="G477" s="30">
        <v>100</v>
      </c>
      <c r="H477" s="22"/>
      <c r="I477" s="16"/>
    </row>
    <row r="478" spans="1:9" ht="24" x14ac:dyDescent="0.25">
      <c r="A478" s="28" t="s">
        <v>424</v>
      </c>
      <c r="B478" s="29">
        <v>147000000</v>
      </c>
      <c r="C478" s="28" t="s">
        <v>104</v>
      </c>
      <c r="D478" s="29">
        <v>145300000</v>
      </c>
      <c r="E478" s="29">
        <f>B478-F478</f>
        <v>1700000</v>
      </c>
      <c r="F478" s="29">
        <v>145300000</v>
      </c>
      <c r="G478" s="30">
        <v>100</v>
      </c>
      <c r="H478" s="22"/>
      <c r="I478" s="16"/>
    </row>
    <row r="479" spans="1:9" ht="24" x14ac:dyDescent="0.25">
      <c r="A479" s="28" t="s">
        <v>425</v>
      </c>
      <c r="B479" s="29">
        <v>100000000</v>
      </c>
      <c r="C479" s="28" t="s">
        <v>104</v>
      </c>
      <c r="D479" s="29">
        <v>99000000</v>
      </c>
      <c r="E479" s="29">
        <f>B479-F479</f>
        <v>1000000</v>
      </c>
      <c r="F479" s="29">
        <v>99000000</v>
      </c>
      <c r="G479" s="30">
        <v>100</v>
      </c>
      <c r="H479" s="22"/>
      <c r="I479" s="16"/>
    </row>
    <row r="480" spans="1:9" ht="24" x14ac:dyDescent="0.25">
      <c r="A480" s="28" t="s">
        <v>426</v>
      </c>
      <c r="B480" s="29">
        <v>485000000</v>
      </c>
      <c r="C480" s="28" t="s">
        <v>104</v>
      </c>
      <c r="D480" s="29">
        <f>141858179+331002418</f>
        <v>472860597</v>
      </c>
      <c r="E480" s="29">
        <f>B480-F480</f>
        <v>12139403</v>
      </c>
      <c r="F480" s="29">
        <f>141858179+331002418</f>
        <v>472860597</v>
      </c>
      <c r="G480" s="30">
        <v>100</v>
      </c>
      <c r="H480" s="22"/>
      <c r="I480" s="16"/>
    </row>
    <row r="481" spans="1:14" ht="36" x14ac:dyDescent="0.25">
      <c r="A481" s="28" t="s">
        <v>427</v>
      </c>
      <c r="B481" s="29">
        <v>147000000</v>
      </c>
      <c r="C481" s="28" t="s">
        <v>104</v>
      </c>
      <c r="D481" s="29">
        <v>145500000</v>
      </c>
      <c r="E481" s="29">
        <f>B481-F481</f>
        <v>1500000</v>
      </c>
      <c r="F481" s="29">
        <v>145500000</v>
      </c>
      <c r="G481" s="30">
        <v>100</v>
      </c>
      <c r="H481" s="22"/>
      <c r="I481" s="16"/>
    </row>
    <row r="482" spans="1:14" ht="24" x14ac:dyDescent="0.25">
      <c r="A482" s="28" t="s">
        <v>428</v>
      </c>
      <c r="B482" s="29">
        <v>147000000</v>
      </c>
      <c r="C482" s="28" t="s">
        <v>104</v>
      </c>
      <c r="D482" s="29">
        <v>145800000</v>
      </c>
      <c r="E482" s="29">
        <f>B482-F482</f>
        <v>1200000</v>
      </c>
      <c r="F482" s="29">
        <v>145800000</v>
      </c>
      <c r="G482" s="30">
        <v>100</v>
      </c>
      <c r="H482" s="22"/>
      <c r="I482" s="16"/>
    </row>
    <row r="483" spans="1:14" s="32" customFormat="1" ht="24" x14ac:dyDescent="0.25">
      <c r="A483" s="28" t="s">
        <v>429</v>
      </c>
      <c r="B483" s="29">
        <v>390000000</v>
      </c>
      <c r="C483" s="28" t="s">
        <v>104</v>
      </c>
      <c r="D483" s="29">
        <v>382677000</v>
      </c>
      <c r="E483" s="29">
        <f>B483-F483</f>
        <v>7323000</v>
      </c>
      <c r="F483" s="29">
        <v>382677000</v>
      </c>
      <c r="G483" s="30">
        <v>100</v>
      </c>
      <c r="H483" s="22"/>
      <c r="I483" s="16"/>
      <c r="J483" s="4"/>
      <c r="K483" s="4"/>
      <c r="L483" s="4"/>
      <c r="M483" s="4"/>
      <c r="N483" s="4"/>
    </row>
    <row r="484" spans="1:14" ht="24" x14ac:dyDescent="0.25">
      <c r="A484" s="28" t="s">
        <v>430</v>
      </c>
      <c r="B484" s="29">
        <v>100000000</v>
      </c>
      <c r="C484" s="28" t="s">
        <v>104</v>
      </c>
      <c r="D484" s="29">
        <v>98549000</v>
      </c>
      <c r="E484" s="29">
        <f>B484-F484</f>
        <v>1451000</v>
      </c>
      <c r="F484" s="29">
        <v>98549000</v>
      </c>
      <c r="G484" s="30">
        <v>100</v>
      </c>
      <c r="H484" s="22"/>
      <c r="I484" s="16"/>
    </row>
    <row r="485" spans="1:14" ht="24" x14ac:dyDescent="0.25">
      <c r="A485" s="28" t="s">
        <v>431</v>
      </c>
      <c r="B485" s="29">
        <v>195000000</v>
      </c>
      <c r="C485" s="28" t="s">
        <v>104</v>
      </c>
      <c r="D485" s="29">
        <v>193300000</v>
      </c>
      <c r="E485" s="29">
        <f>B485-F485</f>
        <v>1700000</v>
      </c>
      <c r="F485" s="29">
        <v>193300000</v>
      </c>
      <c r="G485" s="30">
        <v>100</v>
      </c>
      <c r="H485" s="22"/>
      <c r="I485" s="16"/>
    </row>
    <row r="486" spans="1:14" ht="24" x14ac:dyDescent="0.25">
      <c r="A486" s="28" t="s">
        <v>432</v>
      </c>
      <c r="B486" s="29">
        <v>0</v>
      </c>
      <c r="C486" s="28" t="s">
        <v>104</v>
      </c>
      <c r="D486" s="29">
        <f>B486-1500000</f>
        <v>-1500000</v>
      </c>
      <c r="E486" s="29">
        <f>B486-F486</f>
        <v>0</v>
      </c>
      <c r="F486" s="29">
        <v>0</v>
      </c>
      <c r="G486" s="30">
        <v>0</v>
      </c>
      <c r="H486" s="22"/>
      <c r="I486" s="16"/>
      <c r="J486" s="32"/>
      <c r="K486" s="32"/>
      <c r="L486" s="32"/>
      <c r="M486" s="32"/>
      <c r="N486" s="32"/>
    </row>
    <row r="487" spans="1:14" ht="24" x14ac:dyDescent="0.25">
      <c r="A487" s="28" t="s">
        <v>433</v>
      </c>
      <c r="B487" s="29">
        <v>100000000</v>
      </c>
      <c r="C487" s="28" t="s">
        <v>104</v>
      </c>
      <c r="D487" s="29">
        <v>99000000</v>
      </c>
      <c r="E487" s="29">
        <f>B487-F487</f>
        <v>1000000</v>
      </c>
      <c r="F487" s="29">
        <v>99000000</v>
      </c>
      <c r="G487" s="30">
        <v>100</v>
      </c>
      <c r="H487" s="22"/>
      <c r="I487" s="16"/>
    </row>
    <row r="488" spans="1:14" ht="24" x14ac:dyDescent="0.25">
      <c r="A488" s="28" t="s">
        <v>434</v>
      </c>
      <c r="B488" s="29">
        <v>147000000</v>
      </c>
      <c r="C488" s="28" t="s">
        <v>104</v>
      </c>
      <c r="D488" s="29">
        <v>145009000</v>
      </c>
      <c r="E488" s="29">
        <f>B488-F488</f>
        <v>1991000</v>
      </c>
      <c r="F488" s="29">
        <v>145009000</v>
      </c>
      <c r="G488" s="30">
        <v>100</v>
      </c>
      <c r="H488" s="22"/>
      <c r="I488" s="16"/>
    </row>
    <row r="489" spans="1:14" ht="24" x14ac:dyDescent="0.25">
      <c r="A489" s="28" t="s">
        <v>435</v>
      </c>
      <c r="B489" s="29">
        <v>195000000</v>
      </c>
      <c r="C489" s="28" t="s">
        <v>104</v>
      </c>
      <c r="D489" s="29">
        <v>192064000</v>
      </c>
      <c r="E489" s="29">
        <f>B489-F489</f>
        <v>2936000</v>
      </c>
      <c r="F489" s="29">
        <v>192064000</v>
      </c>
      <c r="G489" s="30">
        <v>100</v>
      </c>
      <c r="H489" s="22"/>
      <c r="I489" s="16"/>
    </row>
    <row r="490" spans="1:14" ht="24" x14ac:dyDescent="0.25">
      <c r="A490" s="28" t="s">
        <v>436</v>
      </c>
      <c r="B490" s="29">
        <v>100000000</v>
      </c>
      <c r="C490" s="28" t="s">
        <v>104</v>
      </c>
      <c r="D490" s="29">
        <v>99038000</v>
      </c>
      <c r="E490" s="29">
        <f>B490-F490</f>
        <v>962000</v>
      </c>
      <c r="F490" s="29">
        <v>99038000</v>
      </c>
      <c r="G490" s="30">
        <v>100</v>
      </c>
      <c r="H490" s="22"/>
      <c r="I490" s="16"/>
    </row>
    <row r="491" spans="1:14" ht="24" x14ac:dyDescent="0.25">
      <c r="A491" s="28" t="s">
        <v>437</v>
      </c>
      <c r="B491" s="29">
        <v>195000000</v>
      </c>
      <c r="C491" s="28" t="s">
        <v>104</v>
      </c>
      <c r="D491" s="29">
        <v>192288600</v>
      </c>
      <c r="E491" s="29">
        <f>B491-F491</f>
        <v>2711400</v>
      </c>
      <c r="F491" s="29">
        <v>192288600</v>
      </c>
      <c r="G491" s="30">
        <v>100</v>
      </c>
      <c r="H491" s="22"/>
      <c r="I491" s="16"/>
    </row>
    <row r="492" spans="1:14" s="32" customFormat="1" ht="24" x14ac:dyDescent="0.25">
      <c r="A492" s="28" t="s">
        <v>438</v>
      </c>
      <c r="B492" s="29">
        <v>147000000</v>
      </c>
      <c r="C492" s="28" t="s">
        <v>104</v>
      </c>
      <c r="D492" s="29">
        <v>145600000</v>
      </c>
      <c r="E492" s="29">
        <f>B492-F492</f>
        <v>1400000</v>
      </c>
      <c r="F492" s="29">
        <v>145600000</v>
      </c>
      <c r="G492" s="30">
        <v>100</v>
      </c>
      <c r="H492" s="22"/>
      <c r="I492" s="16"/>
      <c r="J492" s="4"/>
      <c r="K492" s="4"/>
      <c r="L492" s="4"/>
      <c r="M492" s="4"/>
      <c r="N492" s="4"/>
    </row>
    <row r="493" spans="1:14" ht="24" x14ac:dyDescent="0.25">
      <c r="A493" s="28" t="s">
        <v>439</v>
      </c>
      <c r="B493" s="29">
        <v>195000000</v>
      </c>
      <c r="C493" s="28" t="s">
        <v>104</v>
      </c>
      <c r="D493" s="29">
        <v>191345000</v>
      </c>
      <c r="E493" s="29">
        <f>B493-F493</f>
        <v>3655000</v>
      </c>
      <c r="F493" s="29">
        <v>191345000</v>
      </c>
      <c r="G493" s="30">
        <v>100</v>
      </c>
      <c r="H493" s="22"/>
      <c r="I493" s="16"/>
    </row>
    <row r="494" spans="1:14" ht="24" x14ac:dyDescent="0.25">
      <c r="A494" s="28" t="s">
        <v>440</v>
      </c>
      <c r="B494" s="29">
        <v>655000000</v>
      </c>
      <c r="C494" s="28" t="s">
        <v>104</v>
      </c>
      <c r="D494" s="29">
        <f>B494-1500000</f>
        <v>653500000</v>
      </c>
      <c r="E494" s="29">
        <f>B494-F494</f>
        <v>4239943</v>
      </c>
      <c r="F494" s="29">
        <f>195228017+455532040</f>
        <v>650760057</v>
      </c>
      <c r="G494" s="30">
        <v>100</v>
      </c>
      <c r="H494" s="22"/>
      <c r="I494" s="16"/>
    </row>
    <row r="495" spans="1:14" ht="24" x14ac:dyDescent="0.25">
      <c r="A495" s="28" t="s">
        <v>441</v>
      </c>
      <c r="B495" s="29">
        <v>705000000</v>
      </c>
      <c r="C495" s="28" t="s">
        <v>104</v>
      </c>
      <c r="D495" s="29">
        <f>B495-1500000</f>
        <v>703500000</v>
      </c>
      <c r="E495" s="29">
        <f>B495-F495</f>
        <v>13380343</v>
      </c>
      <c r="F495" s="29">
        <f>207485897+484133760</f>
        <v>691619657</v>
      </c>
      <c r="G495" s="30">
        <v>100</v>
      </c>
      <c r="H495" s="22"/>
      <c r="I495" s="16"/>
      <c r="J495" s="32"/>
      <c r="K495" s="32"/>
      <c r="L495" s="32"/>
      <c r="M495" s="32"/>
      <c r="N495" s="32"/>
    </row>
    <row r="496" spans="1:14" ht="24" x14ac:dyDescent="0.25">
      <c r="A496" s="28" t="s">
        <v>442</v>
      </c>
      <c r="B496" s="29">
        <v>195000000</v>
      </c>
      <c r="C496" s="28" t="s">
        <v>104</v>
      </c>
      <c r="D496" s="29">
        <v>191676000</v>
      </c>
      <c r="E496" s="29">
        <f>B496-F496</f>
        <v>3324000</v>
      </c>
      <c r="F496" s="29">
        <v>191676000</v>
      </c>
      <c r="G496" s="30">
        <v>100</v>
      </c>
      <c r="H496" s="22"/>
      <c r="I496" s="16"/>
    </row>
    <row r="497" spans="1:9" ht="24" x14ac:dyDescent="0.25">
      <c r="A497" s="28" t="s">
        <v>443</v>
      </c>
      <c r="B497" s="29">
        <v>147000000</v>
      </c>
      <c r="C497" s="28" t="s">
        <v>104</v>
      </c>
      <c r="D497" s="29">
        <v>144550000</v>
      </c>
      <c r="E497" s="29">
        <f>B497-F497</f>
        <v>2450000</v>
      </c>
      <c r="F497" s="29">
        <v>144550000</v>
      </c>
      <c r="G497" s="30">
        <v>100</v>
      </c>
      <c r="H497" s="22"/>
      <c r="I497" s="16"/>
    </row>
    <row r="498" spans="1:9" ht="24" x14ac:dyDescent="0.25">
      <c r="A498" s="28" t="s">
        <v>444</v>
      </c>
      <c r="B498" s="29">
        <v>485000000</v>
      </c>
      <c r="C498" s="28" t="s">
        <v>104</v>
      </c>
      <c r="D498" s="29">
        <v>476478000</v>
      </c>
      <c r="E498" s="29">
        <f>B498-F498</f>
        <v>8522000</v>
      </c>
      <c r="F498" s="29">
        <v>476478000</v>
      </c>
      <c r="G498" s="30">
        <v>100</v>
      </c>
      <c r="H498" s="22"/>
      <c r="I498" s="16"/>
    </row>
    <row r="499" spans="1:9" ht="24" x14ac:dyDescent="0.25">
      <c r="A499" s="28" t="s">
        <v>445</v>
      </c>
      <c r="B499" s="29">
        <v>195000000</v>
      </c>
      <c r="C499" s="28" t="s">
        <v>104</v>
      </c>
      <c r="D499" s="29">
        <v>192069000</v>
      </c>
      <c r="E499" s="29">
        <f>B499-F499</f>
        <v>2931000</v>
      </c>
      <c r="F499" s="29">
        <v>192069000</v>
      </c>
      <c r="G499" s="30">
        <v>100</v>
      </c>
      <c r="H499" s="22"/>
      <c r="I499" s="16"/>
    </row>
    <row r="500" spans="1:9" ht="24" x14ac:dyDescent="0.25">
      <c r="A500" s="28" t="s">
        <v>446</v>
      </c>
      <c r="B500" s="29">
        <v>195000000</v>
      </c>
      <c r="C500" s="28" t="s">
        <v>104</v>
      </c>
      <c r="D500" s="29">
        <v>193500000</v>
      </c>
      <c r="E500" s="29">
        <f>B500-F500</f>
        <v>1500000</v>
      </c>
      <c r="F500" s="29">
        <v>193500000</v>
      </c>
      <c r="G500" s="30">
        <v>100</v>
      </c>
      <c r="H500" s="22"/>
      <c r="I500" s="16"/>
    </row>
    <row r="501" spans="1:9" ht="24" x14ac:dyDescent="0.25">
      <c r="A501" s="28" t="s">
        <v>447</v>
      </c>
      <c r="B501" s="29">
        <v>195000000</v>
      </c>
      <c r="C501" s="28" t="s">
        <v>104</v>
      </c>
      <c r="D501" s="29">
        <v>192147000</v>
      </c>
      <c r="E501" s="29">
        <f>B501-F501</f>
        <v>2853000</v>
      </c>
      <c r="F501" s="29">
        <v>192147000</v>
      </c>
      <c r="G501" s="30">
        <v>100</v>
      </c>
      <c r="H501" s="22"/>
      <c r="I501" s="16"/>
    </row>
    <row r="502" spans="1:9" ht="36" x14ac:dyDescent="0.25">
      <c r="A502" s="28" t="s">
        <v>448</v>
      </c>
      <c r="B502" s="29">
        <v>450000000</v>
      </c>
      <c r="C502" s="28" t="s">
        <v>104</v>
      </c>
      <c r="D502" s="29">
        <v>440671000</v>
      </c>
      <c r="E502" s="29">
        <f>B502-F502</f>
        <v>9329000</v>
      </c>
      <c r="F502" s="29">
        <v>440671000</v>
      </c>
      <c r="G502" s="30">
        <v>100</v>
      </c>
      <c r="H502" s="22"/>
      <c r="I502" s="16"/>
    </row>
    <row r="503" spans="1:9" x14ac:dyDescent="0.25">
      <c r="A503" s="28" t="s">
        <v>449</v>
      </c>
      <c r="B503" s="29">
        <f>235000000+25500000+200000000</f>
        <v>460500000</v>
      </c>
      <c r="C503" s="28" t="s">
        <v>15</v>
      </c>
      <c r="D503" s="29">
        <v>147557000</v>
      </c>
      <c r="E503" s="29">
        <f>B503-F503</f>
        <v>312943000</v>
      </c>
      <c r="F503" s="29">
        <v>147557000</v>
      </c>
      <c r="G503" s="30">
        <f>F503/B503*100</f>
        <v>32.042779587404993</v>
      </c>
      <c r="H503" s="22"/>
      <c r="I503" s="16"/>
    </row>
    <row r="504" spans="1:9" ht="36" x14ac:dyDescent="0.25">
      <c r="A504" s="28" t="s">
        <v>450</v>
      </c>
      <c r="B504" s="29">
        <f>800000000</f>
        <v>800000000</v>
      </c>
      <c r="C504" s="28" t="s">
        <v>104</v>
      </c>
      <c r="D504" s="29">
        <v>785329000</v>
      </c>
      <c r="E504" s="29">
        <f>B504-F504</f>
        <v>14671000</v>
      </c>
      <c r="F504" s="29">
        <v>785329000</v>
      </c>
      <c r="G504" s="30">
        <v>100</v>
      </c>
      <c r="H504" s="16"/>
      <c r="I504" s="16"/>
    </row>
    <row r="505" spans="1:9" ht="36" x14ac:dyDescent="0.25">
      <c r="A505" s="28" t="s">
        <v>451</v>
      </c>
      <c r="B505" s="29">
        <v>800000000</v>
      </c>
      <c r="C505" s="28" t="s">
        <v>104</v>
      </c>
      <c r="D505" s="29">
        <f>780271000</f>
        <v>780271000</v>
      </c>
      <c r="E505" s="29">
        <f>B505-F505</f>
        <v>19729000</v>
      </c>
      <c r="F505" s="29">
        <v>780271000</v>
      </c>
      <c r="G505" s="30">
        <v>100</v>
      </c>
      <c r="H505" s="16"/>
      <c r="I505" s="16"/>
    </row>
    <row r="506" spans="1:9" ht="24" x14ac:dyDescent="0.25">
      <c r="A506" s="28" t="s">
        <v>452</v>
      </c>
      <c r="B506" s="29">
        <v>20000000</v>
      </c>
      <c r="C506" s="28" t="s">
        <v>111</v>
      </c>
      <c r="D506" s="29">
        <v>19285500</v>
      </c>
      <c r="E506" s="29">
        <f>B506-F506</f>
        <v>714500</v>
      </c>
      <c r="F506" s="29">
        <v>19285500</v>
      </c>
      <c r="G506" s="30">
        <v>100</v>
      </c>
      <c r="H506" s="22"/>
      <c r="I506" s="16"/>
    </row>
    <row r="507" spans="1:9" ht="24" x14ac:dyDescent="0.25">
      <c r="A507" s="28" t="s">
        <v>453</v>
      </c>
      <c r="B507" s="29">
        <v>25000000</v>
      </c>
      <c r="C507" s="28" t="s">
        <v>111</v>
      </c>
      <c r="D507" s="29">
        <v>23121000</v>
      </c>
      <c r="E507" s="29">
        <f>B507-F507</f>
        <v>1879000</v>
      </c>
      <c r="F507" s="29">
        <v>23121000</v>
      </c>
      <c r="G507" s="30">
        <v>100</v>
      </c>
      <c r="H507" s="22"/>
      <c r="I507" s="16"/>
    </row>
    <row r="508" spans="1:9" ht="24" x14ac:dyDescent="0.25">
      <c r="A508" s="28" t="s">
        <v>454</v>
      </c>
      <c r="B508" s="29">
        <v>20000000</v>
      </c>
      <c r="C508" s="28" t="s">
        <v>111</v>
      </c>
      <c r="D508" s="29">
        <v>19502700</v>
      </c>
      <c r="E508" s="29">
        <f>B508-F508</f>
        <v>497300</v>
      </c>
      <c r="F508" s="29">
        <v>19502700</v>
      </c>
      <c r="G508" s="30">
        <v>100</v>
      </c>
      <c r="H508" s="22"/>
      <c r="I508" s="16"/>
    </row>
    <row r="509" spans="1:9" ht="24" x14ac:dyDescent="0.25">
      <c r="A509" s="28" t="s">
        <v>455</v>
      </c>
      <c r="B509" s="29">
        <v>25000000</v>
      </c>
      <c r="C509" s="28" t="s">
        <v>111</v>
      </c>
      <c r="D509" s="29">
        <v>23643000</v>
      </c>
      <c r="E509" s="29">
        <f>B509-F509</f>
        <v>1357000</v>
      </c>
      <c r="F509" s="29">
        <v>23643000</v>
      </c>
      <c r="G509" s="30">
        <v>100</v>
      </c>
      <c r="H509" s="22"/>
      <c r="I509" s="16"/>
    </row>
    <row r="510" spans="1:9" ht="24" x14ac:dyDescent="0.25">
      <c r="A510" s="28" t="s">
        <v>456</v>
      </c>
      <c r="B510" s="29">
        <v>195000000</v>
      </c>
      <c r="C510" s="28" t="s">
        <v>104</v>
      </c>
      <c r="D510" s="29">
        <v>193400000</v>
      </c>
      <c r="E510" s="29">
        <f>B510-F510</f>
        <v>1600000</v>
      </c>
      <c r="F510" s="29">
        <v>193400000</v>
      </c>
      <c r="G510" s="30">
        <v>100</v>
      </c>
      <c r="H510" s="22"/>
      <c r="I510" s="16"/>
    </row>
    <row r="511" spans="1:9" ht="24" x14ac:dyDescent="0.25">
      <c r="A511" s="28" t="s">
        <v>457</v>
      </c>
      <c r="B511" s="29">
        <v>195000000</v>
      </c>
      <c r="C511" s="28" t="s">
        <v>104</v>
      </c>
      <c r="D511" s="29">
        <v>193500000</v>
      </c>
      <c r="E511" s="29">
        <f>B511-F511</f>
        <v>1500000</v>
      </c>
      <c r="F511" s="29">
        <v>193500000</v>
      </c>
      <c r="G511" s="30">
        <v>100</v>
      </c>
      <c r="H511" s="22"/>
      <c r="I511" s="16"/>
    </row>
    <row r="512" spans="1:9" ht="24" x14ac:dyDescent="0.25">
      <c r="A512" s="28" t="s">
        <v>458</v>
      </c>
      <c r="B512" s="29">
        <v>147000000</v>
      </c>
      <c r="C512" s="28" t="s">
        <v>104</v>
      </c>
      <c r="D512" s="29">
        <v>146000000</v>
      </c>
      <c r="E512" s="29">
        <f>B512-F512</f>
        <v>1000000</v>
      </c>
      <c r="F512" s="29">
        <v>146000000</v>
      </c>
      <c r="G512" s="30">
        <v>100</v>
      </c>
      <c r="H512" s="22"/>
      <c r="I512" s="16"/>
    </row>
    <row r="513" spans="1:9" ht="24" x14ac:dyDescent="0.25">
      <c r="A513" s="28" t="s">
        <v>459</v>
      </c>
      <c r="B513" s="29">
        <v>195000000</v>
      </c>
      <c r="C513" s="28" t="s">
        <v>104</v>
      </c>
      <c r="D513" s="29">
        <v>193800000</v>
      </c>
      <c r="E513" s="29">
        <f>B513-F513</f>
        <v>1200000</v>
      </c>
      <c r="F513" s="29">
        <v>193800000</v>
      </c>
      <c r="G513" s="30">
        <v>100</v>
      </c>
      <c r="H513" s="22"/>
      <c r="I513" s="16"/>
    </row>
    <row r="514" spans="1:9" ht="24" x14ac:dyDescent="0.25">
      <c r="A514" s="28" t="s">
        <v>460</v>
      </c>
      <c r="B514" s="29">
        <v>195000000</v>
      </c>
      <c r="C514" s="28" t="s">
        <v>104</v>
      </c>
      <c r="D514" s="29">
        <v>193800000</v>
      </c>
      <c r="E514" s="29">
        <f>B514-F514</f>
        <v>1200000</v>
      </c>
      <c r="F514" s="29">
        <v>193800000</v>
      </c>
      <c r="G514" s="30">
        <v>100</v>
      </c>
      <c r="H514" s="22"/>
      <c r="I514" s="16"/>
    </row>
    <row r="515" spans="1:9" ht="24" x14ac:dyDescent="0.25">
      <c r="A515" s="28" t="s">
        <v>461</v>
      </c>
      <c r="B515" s="29">
        <v>100000000</v>
      </c>
      <c r="C515" s="28" t="s">
        <v>104</v>
      </c>
      <c r="D515" s="29">
        <v>99100000</v>
      </c>
      <c r="E515" s="29">
        <f>B515-F515</f>
        <v>900000</v>
      </c>
      <c r="F515" s="29">
        <v>99100000</v>
      </c>
      <c r="G515" s="30">
        <v>100</v>
      </c>
      <c r="H515" s="22"/>
      <c r="I515" s="16"/>
    </row>
    <row r="516" spans="1:9" ht="24" x14ac:dyDescent="0.25">
      <c r="A516" s="28" t="s">
        <v>462</v>
      </c>
      <c r="B516" s="29">
        <v>395000000</v>
      </c>
      <c r="C516" s="28" t="s">
        <v>104</v>
      </c>
      <c r="D516" s="29">
        <v>391500000</v>
      </c>
      <c r="E516" s="29">
        <f>B516-F516</f>
        <v>3500000</v>
      </c>
      <c r="F516" s="29">
        <v>391500000</v>
      </c>
      <c r="G516" s="30">
        <v>100</v>
      </c>
      <c r="H516" s="22"/>
      <c r="I516" s="16"/>
    </row>
    <row r="517" spans="1:9" ht="24" x14ac:dyDescent="0.25">
      <c r="A517" s="28" t="s">
        <v>463</v>
      </c>
      <c r="B517" s="29">
        <v>147000000</v>
      </c>
      <c r="C517" s="28" t="s">
        <v>104</v>
      </c>
      <c r="D517" s="29">
        <v>145800000</v>
      </c>
      <c r="E517" s="29">
        <f>B517-F517</f>
        <v>1200000</v>
      </c>
      <c r="F517" s="29">
        <v>145800000</v>
      </c>
      <c r="G517" s="30">
        <v>100</v>
      </c>
      <c r="H517" s="22"/>
      <c r="I517" s="16"/>
    </row>
    <row r="518" spans="1:9" ht="24" x14ac:dyDescent="0.25">
      <c r="A518" s="28" t="s">
        <v>464</v>
      </c>
      <c r="B518" s="29">
        <f>100000000-100000000</f>
        <v>0</v>
      </c>
      <c r="C518" s="28" t="s">
        <v>104</v>
      </c>
      <c r="D518" s="29"/>
      <c r="E518" s="29">
        <f>B518-F518</f>
        <v>0</v>
      </c>
      <c r="F518" s="29">
        <v>0</v>
      </c>
      <c r="G518" s="30">
        <v>0</v>
      </c>
      <c r="H518" s="16"/>
      <c r="I518" s="16"/>
    </row>
    <row r="519" spans="1:9" ht="24" x14ac:dyDescent="0.25">
      <c r="A519" s="28" t="s">
        <v>465</v>
      </c>
      <c r="B519" s="29">
        <f>195000000-195000000</f>
        <v>0</v>
      </c>
      <c r="C519" s="28" t="s">
        <v>104</v>
      </c>
      <c r="D519" s="29"/>
      <c r="E519" s="29">
        <f>B519-F519</f>
        <v>0</v>
      </c>
      <c r="F519" s="29">
        <v>0</v>
      </c>
      <c r="G519" s="30">
        <v>0</v>
      </c>
      <c r="H519" s="22"/>
      <c r="I519" s="16"/>
    </row>
    <row r="520" spans="1:9" ht="24" x14ac:dyDescent="0.25">
      <c r="A520" s="28" t="s">
        <v>466</v>
      </c>
      <c r="B520" s="29">
        <v>0</v>
      </c>
      <c r="C520" s="28" t="s">
        <v>104</v>
      </c>
      <c r="D520" s="29"/>
      <c r="E520" s="29">
        <f>B520-F520</f>
        <v>0</v>
      </c>
      <c r="F520" s="29">
        <v>0</v>
      </c>
      <c r="G520" s="30">
        <v>0</v>
      </c>
      <c r="H520" s="22"/>
      <c r="I520" s="16"/>
    </row>
    <row r="521" spans="1:9" ht="24" x14ac:dyDescent="0.25">
      <c r="A521" s="28" t="s">
        <v>467</v>
      </c>
      <c r="B521" s="29">
        <v>0</v>
      </c>
      <c r="C521" s="28" t="s">
        <v>104</v>
      </c>
      <c r="D521" s="29"/>
      <c r="E521" s="29">
        <f>B521-F521</f>
        <v>0</v>
      </c>
      <c r="F521" s="29">
        <v>0</v>
      </c>
      <c r="G521" s="30">
        <v>0</v>
      </c>
      <c r="H521" s="22"/>
      <c r="I521" s="16"/>
    </row>
    <row r="522" spans="1:9" ht="24" x14ac:dyDescent="0.25">
      <c r="A522" s="28" t="s">
        <v>468</v>
      </c>
      <c r="B522" s="29">
        <v>0</v>
      </c>
      <c r="C522" s="28" t="s">
        <v>104</v>
      </c>
      <c r="D522" s="29"/>
      <c r="E522" s="29">
        <f>B522-F522</f>
        <v>0</v>
      </c>
      <c r="F522" s="29">
        <v>0</v>
      </c>
      <c r="G522" s="30">
        <v>0</v>
      </c>
      <c r="H522" s="22"/>
      <c r="I522" s="16"/>
    </row>
    <row r="523" spans="1:9" ht="24" x14ac:dyDescent="0.25">
      <c r="A523" s="28" t="s">
        <v>469</v>
      </c>
      <c r="B523" s="29">
        <v>0</v>
      </c>
      <c r="C523" s="28" t="s">
        <v>104</v>
      </c>
      <c r="D523" s="29"/>
      <c r="E523" s="29">
        <f>B523-F523</f>
        <v>0</v>
      </c>
      <c r="F523" s="29">
        <v>0</v>
      </c>
      <c r="G523" s="30">
        <v>0</v>
      </c>
      <c r="H523" s="22"/>
      <c r="I523" s="16"/>
    </row>
    <row r="524" spans="1:9" ht="24" x14ac:dyDescent="0.25">
      <c r="A524" s="28" t="s">
        <v>470</v>
      </c>
      <c r="B524" s="29">
        <v>0</v>
      </c>
      <c r="C524" s="28" t="s">
        <v>104</v>
      </c>
      <c r="D524" s="29"/>
      <c r="E524" s="29">
        <f>B524-F524</f>
        <v>0</v>
      </c>
      <c r="F524" s="29">
        <v>0</v>
      </c>
      <c r="G524" s="30">
        <v>0</v>
      </c>
      <c r="H524" s="22"/>
      <c r="I524" s="16"/>
    </row>
    <row r="525" spans="1:9" ht="24" x14ac:dyDescent="0.25">
      <c r="A525" s="28" t="s">
        <v>471</v>
      </c>
      <c r="B525" s="29">
        <v>0</v>
      </c>
      <c r="C525" s="28" t="s">
        <v>104</v>
      </c>
      <c r="D525" s="29"/>
      <c r="E525" s="29">
        <f>B525-F525</f>
        <v>0</v>
      </c>
      <c r="F525" s="29">
        <v>0</v>
      </c>
      <c r="G525" s="30">
        <v>0</v>
      </c>
      <c r="H525" s="22"/>
      <c r="I525" s="16"/>
    </row>
    <row r="526" spans="1:9" ht="24" x14ac:dyDescent="0.25">
      <c r="A526" s="28" t="s">
        <v>472</v>
      </c>
      <c r="B526" s="29">
        <v>0</v>
      </c>
      <c r="C526" s="28" t="s">
        <v>104</v>
      </c>
      <c r="D526" s="29"/>
      <c r="E526" s="29">
        <f>B526-F526</f>
        <v>0</v>
      </c>
      <c r="F526" s="29">
        <v>0</v>
      </c>
      <c r="G526" s="30">
        <v>0</v>
      </c>
      <c r="H526" s="22"/>
      <c r="I526" s="16"/>
    </row>
    <row r="527" spans="1:9" ht="24" x14ac:dyDescent="0.25">
      <c r="A527" s="28" t="s">
        <v>473</v>
      </c>
      <c r="B527" s="29">
        <v>0</v>
      </c>
      <c r="C527" s="28" t="s">
        <v>104</v>
      </c>
      <c r="D527" s="29"/>
      <c r="E527" s="29">
        <f>B527-F527</f>
        <v>0</v>
      </c>
      <c r="F527" s="29">
        <v>0</v>
      </c>
      <c r="G527" s="30">
        <v>0</v>
      </c>
      <c r="H527" s="22"/>
      <c r="I527" s="16"/>
    </row>
    <row r="528" spans="1:9" ht="24" x14ac:dyDescent="0.25">
      <c r="A528" s="28" t="s">
        <v>474</v>
      </c>
      <c r="B528" s="29">
        <v>0</v>
      </c>
      <c r="C528" s="28" t="s">
        <v>104</v>
      </c>
      <c r="D528" s="29"/>
      <c r="E528" s="29">
        <f>B528-F528</f>
        <v>0</v>
      </c>
      <c r="F528" s="29">
        <v>0</v>
      </c>
      <c r="G528" s="30">
        <v>0</v>
      </c>
      <c r="H528" s="22"/>
      <c r="I528" s="16"/>
    </row>
    <row r="529" spans="1:14" ht="24" x14ac:dyDescent="0.25">
      <c r="A529" s="28" t="s">
        <v>475</v>
      </c>
      <c r="B529" s="29">
        <v>0</v>
      </c>
      <c r="C529" s="28" t="s">
        <v>104</v>
      </c>
      <c r="D529" s="29"/>
      <c r="E529" s="29">
        <f>B529-F529</f>
        <v>0</v>
      </c>
      <c r="F529" s="29">
        <v>0</v>
      </c>
      <c r="G529" s="30">
        <v>0</v>
      </c>
      <c r="H529" s="22"/>
      <c r="I529" s="16"/>
    </row>
    <row r="530" spans="1:14" ht="24" x14ac:dyDescent="0.25">
      <c r="A530" s="28" t="s">
        <v>476</v>
      </c>
      <c r="B530" s="29">
        <v>0</v>
      </c>
      <c r="C530" s="28" t="s">
        <v>104</v>
      </c>
      <c r="D530" s="29"/>
      <c r="E530" s="29">
        <f>B530-F530</f>
        <v>0</v>
      </c>
      <c r="F530" s="29">
        <v>0</v>
      </c>
      <c r="G530" s="30">
        <v>0</v>
      </c>
      <c r="H530" s="22"/>
      <c r="I530" s="16"/>
    </row>
    <row r="531" spans="1:14" ht="24" x14ac:dyDescent="0.25">
      <c r="A531" s="28" t="s">
        <v>477</v>
      </c>
      <c r="B531" s="29">
        <v>0</v>
      </c>
      <c r="C531" s="28" t="s">
        <v>104</v>
      </c>
      <c r="D531" s="29"/>
      <c r="E531" s="29">
        <f>B531-F531</f>
        <v>0</v>
      </c>
      <c r="F531" s="29">
        <v>0</v>
      </c>
      <c r="G531" s="30">
        <v>0</v>
      </c>
      <c r="H531" s="22"/>
      <c r="I531" s="16"/>
    </row>
    <row r="532" spans="1:14" x14ac:dyDescent="0.25">
      <c r="A532" s="23" t="s">
        <v>478</v>
      </c>
      <c r="B532" s="24">
        <f>SUM(B533:B935)</f>
        <v>106899471020</v>
      </c>
      <c r="C532" s="25"/>
      <c r="D532" s="26"/>
      <c r="E532" s="24">
        <f>SUM(E533:E935)</f>
        <v>1833607227</v>
      </c>
      <c r="F532" s="24">
        <f>SUM(F533:F935)</f>
        <v>105065863793</v>
      </c>
      <c r="G532" s="27">
        <f>AVERAGE(G538:G541,G544:G550,G553,G555:G579,G581,G583,G584,G585,G587:G588,G590:G626,G628:G630,G632:G635,G637,G640:G643,G645:G648,G650:G654,G656,G658:G660,G662:G679,G681:G691,G695,G698:G699,G701:G707,G709:G736,G738:G752,G754:G820,G822:G909)</f>
        <v>99.930169936410721</v>
      </c>
      <c r="H532" s="16"/>
      <c r="I532" s="16"/>
    </row>
    <row r="533" spans="1:14" ht="24" x14ac:dyDescent="0.25">
      <c r="A533" s="28" t="s">
        <v>479</v>
      </c>
      <c r="B533" s="29">
        <v>0</v>
      </c>
      <c r="C533" s="28" t="s">
        <v>111</v>
      </c>
      <c r="D533" s="29">
        <v>0</v>
      </c>
      <c r="E533" s="29">
        <f>B533-F533</f>
        <v>0</v>
      </c>
      <c r="F533" s="29">
        <v>0</v>
      </c>
      <c r="G533" s="30">
        <v>0</v>
      </c>
      <c r="H533" s="16"/>
      <c r="I533" s="16"/>
    </row>
    <row r="534" spans="1:14" ht="24" x14ac:dyDescent="0.25">
      <c r="A534" s="28" t="s">
        <v>480</v>
      </c>
      <c r="B534" s="29">
        <v>0</v>
      </c>
      <c r="C534" s="28" t="s">
        <v>111</v>
      </c>
      <c r="D534" s="29">
        <v>0</v>
      </c>
      <c r="E534" s="29">
        <f>B534-F534</f>
        <v>0</v>
      </c>
      <c r="F534" s="29">
        <v>0</v>
      </c>
      <c r="G534" s="30">
        <v>0</v>
      </c>
      <c r="H534" s="16"/>
      <c r="I534" s="16"/>
    </row>
    <row r="535" spans="1:14" s="32" customFormat="1" ht="24" x14ac:dyDescent="0.25">
      <c r="A535" s="28" t="s">
        <v>481</v>
      </c>
      <c r="B535" s="29">
        <v>0</v>
      </c>
      <c r="C535" s="28" t="s">
        <v>111</v>
      </c>
      <c r="D535" s="29">
        <v>0</v>
      </c>
      <c r="E535" s="29">
        <f>B535-F535</f>
        <v>0</v>
      </c>
      <c r="F535" s="29">
        <v>0</v>
      </c>
      <c r="G535" s="30">
        <v>0</v>
      </c>
      <c r="H535" s="22"/>
      <c r="I535" s="16"/>
      <c r="J535" s="4"/>
      <c r="K535" s="4"/>
      <c r="L535" s="4"/>
      <c r="M535" s="4"/>
      <c r="N535" s="4"/>
    </row>
    <row r="536" spans="1:14" s="32" customFormat="1" ht="24" x14ac:dyDescent="0.25">
      <c r="A536" s="28" t="s">
        <v>482</v>
      </c>
      <c r="B536" s="29">
        <f>130000000-130000000</f>
        <v>0</v>
      </c>
      <c r="C536" s="28" t="s">
        <v>104</v>
      </c>
      <c r="D536" s="29">
        <v>0</v>
      </c>
      <c r="E536" s="29">
        <f>B536-F536</f>
        <v>0</v>
      </c>
      <c r="F536" s="29">
        <v>0</v>
      </c>
      <c r="G536" s="30">
        <v>0</v>
      </c>
      <c r="H536" s="22"/>
      <c r="I536" s="16"/>
      <c r="J536" s="4"/>
      <c r="K536" s="4"/>
      <c r="L536" s="4"/>
      <c r="M536" s="4"/>
      <c r="N536" s="4"/>
    </row>
    <row r="537" spans="1:14" ht="24" x14ac:dyDescent="0.25">
      <c r="A537" s="28" t="s">
        <v>483</v>
      </c>
      <c r="B537" s="29">
        <f>100000000-100000000</f>
        <v>0</v>
      </c>
      <c r="C537" s="28" t="s">
        <v>104</v>
      </c>
      <c r="D537" s="29">
        <v>0</v>
      </c>
      <c r="E537" s="29">
        <f>B537-F537</f>
        <v>0</v>
      </c>
      <c r="F537" s="29">
        <v>0</v>
      </c>
      <c r="G537" s="30">
        <v>0</v>
      </c>
      <c r="H537" s="22"/>
      <c r="I537" s="16"/>
    </row>
    <row r="538" spans="1:14" s="32" customFormat="1" ht="24" x14ac:dyDescent="0.25">
      <c r="A538" s="28" t="s">
        <v>484</v>
      </c>
      <c r="B538" s="29">
        <v>195000000</v>
      </c>
      <c r="C538" s="28" t="s">
        <v>104</v>
      </c>
      <c r="D538" s="29">
        <v>192038000</v>
      </c>
      <c r="E538" s="29">
        <f>B538-F538</f>
        <v>2962000</v>
      </c>
      <c r="F538" s="29">
        <v>192038000</v>
      </c>
      <c r="G538" s="30">
        <v>100</v>
      </c>
      <c r="H538" s="22"/>
      <c r="I538" s="16"/>
    </row>
    <row r="539" spans="1:14" ht="24" x14ac:dyDescent="0.25">
      <c r="A539" s="28" t="s">
        <v>485</v>
      </c>
      <c r="B539" s="29">
        <v>195000000</v>
      </c>
      <c r="C539" s="28" t="s">
        <v>104</v>
      </c>
      <c r="D539" s="29">
        <v>192918000</v>
      </c>
      <c r="E539" s="29">
        <f>B539-F539</f>
        <v>2082000</v>
      </c>
      <c r="F539" s="29">
        <v>192918000</v>
      </c>
      <c r="G539" s="30">
        <v>100</v>
      </c>
      <c r="H539" s="22"/>
      <c r="I539" s="16"/>
      <c r="J539" s="32"/>
      <c r="K539" s="32"/>
      <c r="L539" s="32"/>
      <c r="M539" s="32"/>
      <c r="N539" s="32"/>
    </row>
    <row r="540" spans="1:14" ht="24" x14ac:dyDescent="0.25">
      <c r="A540" s="28" t="s">
        <v>486</v>
      </c>
      <c r="B540" s="29">
        <v>390000000</v>
      </c>
      <c r="C540" s="28" t="s">
        <v>104</v>
      </c>
      <c r="D540" s="29">
        <v>383987000</v>
      </c>
      <c r="E540" s="29">
        <f>B540-F540</f>
        <v>6013000</v>
      </c>
      <c r="F540" s="29">
        <v>383987000</v>
      </c>
      <c r="G540" s="30">
        <v>100</v>
      </c>
      <c r="H540" s="22"/>
      <c r="I540" s="16"/>
    </row>
    <row r="541" spans="1:14" s="32" customFormat="1" ht="24" x14ac:dyDescent="0.25">
      <c r="A541" s="28" t="s">
        <v>487</v>
      </c>
      <c r="B541" s="29">
        <v>147000000</v>
      </c>
      <c r="C541" s="28" t="s">
        <v>104</v>
      </c>
      <c r="D541" s="29">
        <v>144165000</v>
      </c>
      <c r="E541" s="29">
        <f>B541-F541</f>
        <v>2835000</v>
      </c>
      <c r="F541" s="29">
        <v>144165000</v>
      </c>
      <c r="G541" s="30">
        <v>100</v>
      </c>
      <c r="H541" s="22"/>
      <c r="I541" s="16"/>
    </row>
    <row r="542" spans="1:14" ht="24" x14ac:dyDescent="0.25">
      <c r="A542" s="28" t="s">
        <v>488</v>
      </c>
      <c r="B542" s="29">
        <f>195000000-195000000</f>
        <v>0</v>
      </c>
      <c r="C542" s="28" t="s">
        <v>104</v>
      </c>
      <c r="D542" s="29">
        <v>0</v>
      </c>
      <c r="E542" s="29">
        <f>B542-F542</f>
        <v>0</v>
      </c>
      <c r="F542" s="29">
        <v>0</v>
      </c>
      <c r="G542" s="30">
        <v>0</v>
      </c>
      <c r="H542" s="22"/>
      <c r="I542" s="16"/>
    </row>
    <row r="543" spans="1:14" s="32" customFormat="1" ht="24" x14ac:dyDescent="0.25">
      <c r="A543" s="28" t="s">
        <v>489</v>
      </c>
      <c r="B543" s="29">
        <f>195000000-195000000</f>
        <v>0</v>
      </c>
      <c r="C543" s="28" t="s">
        <v>104</v>
      </c>
      <c r="D543" s="29">
        <v>0</v>
      </c>
      <c r="E543" s="29">
        <f>B543-F543</f>
        <v>0</v>
      </c>
      <c r="F543" s="29">
        <v>0</v>
      </c>
      <c r="G543" s="30">
        <v>0</v>
      </c>
      <c r="H543" s="22"/>
      <c r="I543" s="16"/>
      <c r="J543" s="4"/>
      <c r="K543" s="4"/>
      <c r="L543" s="4"/>
      <c r="M543" s="4"/>
      <c r="N543" s="4"/>
    </row>
    <row r="544" spans="1:14" s="32" customFormat="1" ht="24" x14ac:dyDescent="0.25">
      <c r="A544" s="28" t="s">
        <v>490</v>
      </c>
      <c r="B544" s="29">
        <v>195000000</v>
      </c>
      <c r="C544" s="28" t="s">
        <v>104</v>
      </c>
      <c r="D544" s="29">
        <v>193140000</v>
      </c>
      <c r="E544" s="29">
        <f>B544-F544</f>
        <v>1860000</v>
      </c>
      <c r="F544" s="29">
        <v>193140000</v>
      </c>
      <c r="G544" s="30">
        <v>100</v>
      </c>
      <c r="H544" s="22"/>
      <c r="I544" s="16"/>
    </row>
    <row r="545" spans="1:14" s="32" customFormat="1" ht="24" x14ac:dyDescent="0.25">
      <c r="A545" s="28" t="s">
        <v>491</v>
      </c>
      <c r="B545" s="29">
        <v>485000000</v>
      </c>
      <c r="C545" s="28" t="s">
        <v>104</v>
      </c>
      <c r="D545" s="29">
        <v>476267500</v>
      </c>
      <c r="E545" s="29">
        <f>B545-F545</f>
        <v>8732500</v>
      </c>
      <c r="F545" s="29">
        <v>476267500</v>
      </c>
      <c r="G545" s="30">
        <v>100</v>
      </c>
      <c r="H545" s="22"/>
      <c r="I545" s="16"/>
      <c r="J545" s="4"/>
      <c r="K545" s="4"/>
      <c r="L545" s="4"/>
      <c r="M545" s="4"/>
      <c r="N545" s="4"/>
    </row>
    <row r="546" spans="1:14" s="32" customFormat="1" ht="24" x14ac:dyDescent="0.25">
      <c r="A546" s="28" t="s">
        <v>492</v>
      </c>
      <c r="B546" s="29">
        <v>565000000</v>
      </c>
      <c r="C546" s="28" t="s">
        <v>104</v>
      </c>
      <c r="D546" s="29">
        <v>559094000</v>
      </c>
      <c r="E546" s="29">
        <f>B546-F546</f>
        <v>5906000</v>
      </c>
      <c r="F546" s="29">
        <f>167728200+391365800</f>
        <v>559094000</v>
      </c>
      <c r="G546" s="30">
        <v>100</v>
      </c>
      <c r="H546" s="22"/>
      <c r="I546" s="16"/>
    </row>
    <row r="547" spans="1:14" ht="24" x14ac:dyDescent="0.25">
      <c r="A547" s="28" t="s">
        <v>493</v>
      </c>
      <c r="B547" s="29">
        <v>485000000</v>
      </c>
      <c r="C547" s="28" t="s">
        <v>104</v>
      </c>
      <c r="D547" s="29">
        <v>481693957</v>
      </c>
      <c r="E547" s="29">
        <f>B547-F547</f>
        <v>3306043</v>
      </c>
      <c r="F547" s="29">
        <f>144508187+337185770</f>
        <v>481693957</v>
      </c>
      <c r="G547" s="30">
        <v>100</v>
      </c>
      <c r="H547" s="22"/>
      <c r="I547" s="16"/>
      <c r="J547" s="32"/>
      <c r="K547" s="32"/>
      <c r="L547" s="32"/>
      <c r="M547" s="32"/>
      <c r="N547" s="32"/>
    </row>
    <row r="548" spans="1:14" ht="24" x14ac:dyDescent="0.25">
      <c r="A548" s="28" t="s">
        <v>494</v>
      </c>
      <c r="B548" s="29">
        <v>485000000</v>
      </c>
      <c r="C548" s="28" t="s">
        <v>104</v>
      </c>
      <c r="D548" s="29">
        <v>481270470</v>
      </c>
      <c r="E548" s="29">
        <f>B548-F548</f>
        <v>3729530</v>
      </c>
      <c r="F548" s="29">
        <f>144381141+336889329</f>
        <v>481270470</v>
      </c>
      <c r="G548" s="30">
        <v>100</v>
      </c>
      <c r="H548" s="22"/>
      <c r="I548" s="16"/>
      <c r="J548" s="32"/>
      <c r="K548" s="32"/>
      <c r="L548" s="32"/>
      <c r="M548" s="32"/>
      <c r="N548" s="32"/>
    </row>
    <row r="549" spans="1:14" ht="24" x14ac:dyDescent="0.25">
      <c r="A549" s="28" t="s">
        <v>495</v>
      </c>
      <c r="B549" s="29">
        <v>485000000</v>
      </c>
      <c r="C549" s="28" t="s">
        <v>104</v>
      </c>
      <c r="D549" s="29">
        <v>475312648</v>
      </c>
      <c r="E549" s="29">
        <f>B549-F549</f>
        <v>9687352</v>
      </c>
      <c r="F549" s="29">
        <f>142593794+332718854</f>
        <v>475312648</v>
      </c>
      <c r="G549" s="30">
        <v>100</v>
      </c>
      <c r="H549" s="22"/>
      <c r="I549" s="16"/>
      <c r="J549" s="32"/>
      <c r="K549" s="32"/>
      <c r="L549" s="32"/>
      <c r="M549" s="32"/>
      <c r="N549" s="32"/>
    </row>
    <row r="550" spans="1:14" s="32" customFormat="1" ht="24" x14ac:dyDescent="0.25">
      <c r="A550" s="28" t="s">
        <v>496</v>
      </c>
      <c r="B550" s="29">
        <v>390000000</v>
      </c>
      <c r="C550" s="28" t="s">
        <v>104</v>
      </c>
      <c r="D550" s="29">
        <v>379862000</v>
      </c>
      <c r="E550" s="29">
        <f>B550-F550</f>
        <v>10138000</v>
      </c>
      <c r="F550" s="29">
        <v>379862000</v>
      </c>
      <c r="G550" s="30">
        <v>100</v>
      </c>
      <c r="H550" s="22"/>
      <c r="I550" s="16"/>
      <c r="J550" s="4"/>
      <c r="K550" s="4"/>
      <c r="L550" s="4"/>
      <c r="M550" s="4"/>
      <c r="N550" s="4"/>
    </row>
    <row r="551" spans="1:14" ht="24" x14ac:dyDescent="0.25">
      <c r="A551" s="28" t="s">
        <v>497</v>
      </c>
      <c r="B551" s="29">
        <f>195000000-195000000</f>
        <v>0</v>
      </c>
      <c r="C551" s="28" t="s">
        <v>104</v>
      </c>
      <c r="D551" s="29">
        <v>0</v>
      </c>
      <c r="E551" s="29">
        <f>B551-F551</f>
        <v>0</v>
      </c>
      <c r="F551" s="29">
        <v>0</v>
      </c>
      <c r="G551" s="30">
        <v>0</v>
      </c>
      <c r="H551" s="22"/>
      <c r="I551" s="16"/>
    </row>
    <row r="552" spans="1:14" ht="24" x14ac:dyDescent="0.25">
      <c r="A552" s="28" t="s">
        <v>498</v>
      </c>
      <c r="B552" s="29">
        <f>100000000-100000000</f>
        <v>0</v>
      </c>
      <c r="C552" s="28" t="s">
        <v>104</v>
      </c>
      <c r="D552" s="29">
        <v>0</v>
      </c>
      <c r="E552" s="29">
        <f>B552-F552</f>
        <v>0</v>
      </c>
      <c r="F552" s="29">
        <v>0</v>
      </c>
      <c r="G552" s="30">
        <v>0</v>
      </c>
      <c r="H552" s="22"/>
      <c r="I552" s="16"/>
    </row>
    <row r="553" spans="1:14" ht="24" x14ac:dyDescent="0.25">
      <c r="A553" s="28" t="s">
        <v>499</v>
      </c>
      <c r="B553" s="29">
        <v>195000000</v>
      </c>
      <c r="C553" s="28" t="s">
        <v>104</v>
      </c>
      <c r="D553" s="29">
        <v>192026000</v>
      </c>
      <c r="E553" s="29">
        <f>B553-F553</f>
        <v>2974000</v>
      </c>
      <c r="F553" s="29">
        <v>192026000</v>
      </c>
      <c r="G553" s="30">
        <v>100</v>
      </c>
      <c r="H553" s="22"/>
      <c r="I553" s="16"/>
      <c r="J553" s="32"/>
      <c r="K553" s="32"/>
      <c r="L553" s="32"/>
      <c r="M553" s="32"/>
      <c r="N553" s="32"/>
    </row>
    <row r="554" spans="1:14" ht="24" x14ac:dyDescent="0.25">
      <c r="A554" s="28" t="s">
        <v>500</v>
      </c>
      <c r="B554" s="29">
        <f>195000000-195000000</f>
        <v>0</v>
      </c>
      <c r="C554" s="28" t="s">
        <v>104</v>
      </c>
      <c r="D554" s="29">
        <v>0</v>
      </c>
      <c r="E554" s="29">
        <f>B554-F554</f>
        <v>0</v>
      </c>
      <c r="F554" s="29">
        <v>0</v>
      </c>
      <c r="G554" s="30">
        <v>0</v>
      </c>
      <c r="H554" s="22"/>
      <c r="I554" s="16"/>
    </row>
    <row r="555" spans="1:14" ht="24" x14ac:dyDescent="0.25">
      <c r="A555" s="28" t="s">
        <v>501</v>
      </c>
      <c r="B555" s="29">
        <v>550000000</v>
      </c>
      <c r="C555" s="28" t="s">
        <v>104</v>
      </c>
      <c r="D555" s="29">
        <v>542274422</v>
      </c>
      <c r="E555" s="29">
        <f>B555-F555</f>
        <v>7725578</v>
      </c>
      <c r="F555" s="29">
        <v>542274422</v>
      </c>
      <c r="G555" s="30">
        <v>100</v>
      </c>
      <c r="H555" s="22"/>
      <c r="I555" s="16"/>
    </row>
    <row r="556" spans="1:14" ht="24" x14ac:dyDescent="0.25">
      <c r="A556" s="28" t="s">
        <v>502</v>
      </c>
      <c r="B556" s="29">
        <v>565000000</v>
      </c>
      <c r="C556" s="28" t="s">
        <v>104</v>
      </c>
      <c r="D556" s="29">
        <v>561609558</v>
      </c>
      <c r="E556" s="29">
        <f>B556-F556</f>
        <v>3390442</v>
      </c>
      <c r="F556" s="29">
        <v>561609558</v>
      </c>
      <c r="G556" s="30">
        <v>100</v>
      </c>
      <c r="H556" s="22"/>
      <c r="I556" s="16"/>
    </row>
    <row r="557" spans="1:14" s="32" customFormat="1" ht="24" x14ac:dyDescent="0.25">
      <c r="A557" s="28" t="s">
        <v>503</v>
      </c>
      <c r="B557" s="29">
        <v>550000000</v>
      </c>
      <c r="C557" s="28" t="s">
        <v>104</v>
      </c>
      <c r="D557" s="29">
        <v>543712409</v>
      </c>
      <c r="E557" s="29">
        <f>B557-F557</f>
        <v>6287591</v>
      </c>
      <c r="F557" s="29">
        <f>163113723+380598686</f>
        <v>543712409</v>
      </c>
      <c r="G557" s="30">
        <v>100</v>
      </c>
      <c r="H557" s="22"/>
      <c r="I557" s="16"/>
      <c r="J557" s="4"/>
      <c r="K557" s="4"/>
      <c r="L557" s="4"/>
      <c r="M557" s="4"/>
      <c r="N557" s="4"/>
    </row>
    <row r="558" spans="1:14" s="32" customFormat="1" ht="24" x14ac:dyDescent="0.25">
      <c r="A558" s="28" t="s">
        <v>504</v>
      </c>
      <c r="B558" s="29">
        <v>550000000</v>
      </c>
      <c r="C558" s="28" t="s">
        <v>104</v>
      </c>
      <c r="D558" s="29">
        <v>538899500</v>
      </c>
      <c r="E558" s="29">
        <f>B558-F558</f>
        <v>11100500</v>
      </c>
      <c r="F558" s="29">
        <v>538899500</v>
      </c>
      <c r="G558" s="30">
        <v>100</v>
      </c>
      <c r="H558" s="22"/>
      <c r="I558" s="16"/>
      <c r="J558" s="4"/>
      <c r="K558" s="4"/>
      <c r="L558" s="4"/>
      <c r="M558" s="4"/>
      <c r="N558" s="4"/>
    </row>
    <row r="559" spans="1:14" s="32" customFormat="1" ht="24" x14ac:dyDescent="0.25">
      <c r="A559" s="28" t="s">
        <v>505</v>
      </c>
      <c r="B559" s="29">
        <v>485000000</v>
      </c>
      <c r="C559" s="28" t="s">
        <v>104</v>
      </c>
      <c r="D559" s="29">
        <v>475134000</v>
      </c>
      <c r="E559" s="29">
        <f>B559-F559</f>
        <v>9866000</v>
      </c>
      <c r="F559" s="29">
        <v>475134000</v>
      </c>
      <c r="G559" s="30">
        <v>100</v>
      </c>
      <c r="H559" s="22"/>
      <c r="I559" s="16"/>
      <c r="J559" s="4"/>
      <c r="K559" s="4"/>
      <c r="L559" s="4"/>
      <c r="M559" s="4"/>
      <c r="N559" s="4"/>
    </row>
    <row r="560" spans="1:14" s="32" customFormat="1" ht="24" x14ac:dyDescent="0.25">
      <c r="A560" s="28" t="s">
        <v>506</v>
      </c>
      <c r="B560" s="29">
        <v>147000000</v>
      </c>
      <c r="C560" s="28" t="s">
        <v>104</v>
      </c>
      <c r="D560" s="29">
        <v>145869000</v>
      </c>
      <c r="E560" s="29">
        <f>B560-F560</f>
        <v>1131000</v>
      </c>
      <c r="F560" s="29">
        <v>145869000</v>
      </c>
      <c r="G560" s="30">
        <v>100</v>
      </c>
      <c r="H560" s="22"/>
      <c r="I560" s="16"/>
    </row>
    <row r="561" spans="1:14" ht="24" x14ac:dyDescent="0.25">
      <c r="A561" s="28" t="s">
        <v>507</v>
      </c>
      <c r="B561" s="29">
        <v>182000000</v>
      </c>
      <c r="C561" s="28" t="s">
        <v>104</v>
      </c>
      <c r="D561" s="29">
        <v>179731000</v>
      </c>
      <c r="E561" s="29">
        <f>B561-F561</f>
        <v>2269000</v>
      </c>
      <c r="F561" s="29">
        <v>179731000</v>
      </c>
      <c r="G561" s="30">
        <v>100</v>
      </c>
      <c r="H561" s="22"/>
      <c r="I561" s="16"/>
      <c r="J561" s="32"/>
      <c r="K561" s="32"/>
      <c r="L561" s="32"/>
      <c r="M561" s="32"/>
      <c r="N561" s="32"/>
    </row>
    <row r="562" spans="1:14" ht="24" x14ac:dyDescent="0.25">
      <c r="A562" s="28" t="s">
        <v>508</v>
      </c>
      <c r="B562" s="29">
        <v>565000000</v>
      </c>
      <c r="C562" s="28" t="s">
        <v>104</v>
      </c>
      <c r="D562" s="29">
        <v>553686547</v>
      </c>
      <c r="E562" s="29">
        <f>B562-F562</f>
        <v>11313453</v>
      </c>
      <c r="F562" s="29">
        <f>166105964+387580583</f>
        <v>553686547</v>
      </c>
      <c r="G562" s="30">
        <v>100</v>
      </c>
      <c r="H562" s="22"/>
      <c r="I562" s="16"/>
      <c r="J562" s="32"/>
      <c r="K562" s="32"/>
      <c r="L562" s="32"/>
      <c r="M562" s="32"/>
      <c r="N562" s="32"/>
    </row>
    <row r="563" spans="1:14" ht="24" x14ac:dyDescent="0.25">
      <c r="A563" s="28" t="s">
        <v>509</v>
      </c>
      <c r="B563" s="29">
        <v>182000000</v>
      </c>
      <c r="C563" s="28" t="s">
        <v>104</v>
      </c>
      <c r="D563" s="29">
        <v>179728000</v>
      </c>
      <c r="E563" s="29">
        <f>B563-F563</f>
        <v>2272000</v>
      </c>
      <c r="F563" s="29">
        <v>179728000</v>
      </c>
      <c r="G563" s="30">
        <v>100</v>
      </c>
      <c r="H563" s="22"/>
      <c r="I563" s="16"/>
      <c r="J563" s="32"/>
      <c r="K563" s="32"/>
      <c r="L563" s="32"/>
      <c r="M563" s="32"/>
      <c r="N563" s="32"/>
    </row>
    <row r="564" spans="1:14" ht="24" x14ac:dyDescent="0.25">
      <c r="A564" s="28" t="s">
        <v>510</v>
      </c>
      <c r="B564" s="29">
        <v>485000000</v>
      </c>
      <c r="C564" s="28" t="s">
        <v>104</v>
      </c>
      <c r="D564" s="29">
        <v>477214000</v>
      </c>
      <c r="E564" s="29">
        <f>B564-F564</f>
        <v>7786000</v>
      </c>
      <c r="F564" s="29">
        <v>477214000</v>
      </c>
      <c r="G564" s="30">
        <v>100</v>
      </c>
      <c r="H564" s="22"/>
      <c r="I564" s="16"/>
    </row>
    <row r="565" spans="1:14" s="32" customFormat="1" ht="24" x14ac:dyDescent="0.25">
      <c r="A565" s="28" t="s">
        <v>511</v>
      </c>
      <c r="B565" s="29">
        <f>195000000</f>
        <v>195000000</v>
      </c>
      <c r="C565" s="28" t="s">
        <v>104</v>
      </c>
      <c r="D565" s="29">
        <v>192642000</v>
      </c>
      <c r="E565" s="29">
        <f>B565-F565</f>
        <v>2358000</v>
      </c>
      <c r="F565" s="29">
        <v>192642000</v>
      </c>
      <c r="G565" s="30">
        <v>100</v>
      </c>
      <c r="H565" s="22"/>
      <c r="I565" s="16"/>
      <c r="J565" s="4"/>
      <c r="K565" s="4"/>
      <c r="L565" s="4"/>
      <c r="M565" s="4"/>
      <c r="N565" s="4"/>
    </row>
    <row r="566" spans="1:14" ht="24" x14ac:dyDescent="0.25">
      <c r="A566" s="28" t="s">
        <v>512</v>
      </c>
      <c r="B566" s="29">
        <v>485000000</v>
      </c>
      <c r="C566" s="28" t="s">
        <v>104</v>
      </c>
      <c r="D566" s="29">
        <v>475008305</v>
      </c>
      <c r="E566" s="29">
        <f>B566-F566</f>
        <v>9991695</v>
      </c>
      <c r="F566" s="29">
        <v>475008305</v>
      </c>
      <c r="G566" s="30">
        <v>100</v>
      </c>
      <c r="H566" s="22"/>
      <c r="I566" s="16"/>
    </row>
    <row r="567" spans="1:14" s="32" customFormat="1" ht="24" x14ac:dyDescent="0.25">
      <c r="A567" s="28" t="s">
        <v>513</v>
      </c>
      <c r="B567" s="29">
        <v>485000000</v>
      </c>
      <c r="C567" s="28" t="s">
        <v>104</v>
      </c>
      <c r="D567" s="29">
        <v>475061197</v>
      </c>
      <c r="E567" s="29">
        <f>B567-F567</f>
        <v>9938803</v>
      </c>
      <c r="F567" s="29">
        <v>475061197</v>
      </c>
      <c r="G567" s="30">
        <v>100</v>
      </c>
      <c r="H567" s="22"/>
      <c r="I567" s="16"/>
      <c r="J567" s="4"/>
      <c r="K567" s="4"/>
      <c r="L567" s="4"/>
      <c r="M567" s="4"/>
      <c r="N567" s="4"/>
    </row>
    <row r="568" spans="1:14" s="32" customFormat="1" ht="24" x14ac:dyDescent="0.25">
      <c r="A568" s="28" t="s">
        <v>514</v>
      </c>
      <c r="B568" s="29">
        <v>565000000</v>
      </c>
      <c r="C568" s="28" t="s">
        <v>104</v>
      </c>
      <c r="D568" s="29">
        <v>554327085</v>
      </c>
      <c r="E568" s="29">
        <f>B568-F568</f>
        <v>10672915</v>
      </c>
      <c r="F568" s="29">
        <f>166298126+388028959</f>
        <v>554327085</v>
      </c>
      <c r="G568" s="30">
        <v>100</v>
      </c>
      <c r="H568" s="22"/>
      <c r="I568" s="16"/>
    </row>
    <row r="569" spans="1:14" s="32" customFormat="1" ht="24" x14ac:dyDescent="0.25">
      <c r="A569" s="28" t="s">
        <v>515</v>
      </c>
      <c r="B569" s="29">
        <v>195000000</v>
      </c>
      <c r="C569" s="28" t="s">
        <v>104</v>
      </c>
      <c r="D569" s="29">
        <v>192940000</v>
      </c>
      <c r="E569" s="29">
        <f>B569-F569</f>
        <v>2060000</v>
      </c>
      <c r="F569" s="29">
        <v>192940000</v>
      </c>
      <c r="G569" s="30">
        <v>100</v>
      </c>
      <c r="H569" s="22"/>
      <c r="I569" s="16"/>
      <c r="J569" s="4"/>
      <c r="K569" s="4"/>
      <c r="L569" s="4"/>
      <c r="M569" s="4"/>
      <c r="N569" s="4"/>
    </row>
    <row r="570" spans="1:14" ht="24" x14ac:dyDescent="0.25">
      <c r="A570" s="28" t="s">
        <v>516</v>
      </c>
      <c r="B570" s="29">
        <v>147000000</v>
      </c>
      <c r="C570" s="28" t="s">
        <v>104</v>
      </c>
      <c r="D570" s="29">
        <v>145004000</v>
      </c>
      <c r="E570" s="29">
        <f>B570-F570</f>
        <v>1996000</v>
      </c>
      <c r="F570" s="29">
        <v>145004000</v>
      </c>
      <c r="G570" s="30">
        <v>100</v>
      </c>
      <c r="H570" s="22"/>
      <c r="I570" s="16"/>
      <c r="J570" s="32"/>
      <c r="K570" s="32"/>
      <c r="L570" s="32"/>
      <c r="M570" s="32"/>
      <c r="N570" s="32"/>
    </row>
    <row r="571" spans="1:14" ht="24" x14ac:dyDescent="0.25">
      <c r="A571" s="28" t="s">
        <v>517</v>
      </c>
      <c r="B571" s="29">
        <v>195000000</v>
      </c>
      <c r="C571" s="28" t="s">
        <v>104</v>
      </c>
      <c r="D571" s="29">
        <v>191567000</v>
      </c>
      <c r="E571" s="29">
        <f>B571-F571</f>
        <v>3433000</v>
      </c>
      <c r="F571" s="29">
        <v>191567000</v>
      </c>
      <c r="G571" s="30">
        <v>100</v>
      </c>
      <c r="H571" s="22"/>
      <c r="I571" s="16"/>
      <c r="J571" s="32"/>
      <c r="K571" s="32"/>
      <c r="L571" s="32"/>
      <c r="M571" s="32"/>
      <c r="N571" s="32"/>
    </row>
    <row r="572" spans="1:14" ht="24" x14ac:dyDescent="0.25">
      <c r="A572" s="28" t="s">
        <v>518</v>
      </c>
      <c r="B572" s="29">
        <v>147000000</v>
      </c>
      <c r="C572" s="28" t="s">
        <v>104</v>
      </c>
      <c r="D572" s="29">
        <v>144859000</v>
      </c>
      <c r="E572" s="29">
        <f>B572-F572</f>
        <v>2141000</v>
      </c>
      <c r="F572" s="29">
        <v>144859000</v>
      </c>
      <c r="G572" s="30">
        <v>100</v>
      </c>
      <c r="H572" s="22"/>
      <c r="I572" s="16"/>
      <c r="J572" s="32"/>
      <c r="K572" s="32"/>
      <c r="L572" s="32"/>
      <c r="M572" s="32"/>
      <c r="N572" s="32"/>
    </row>
    <row r="573" spans="1:14" s="32" customFormat="1" ht="24" x14ac:dyDescent="0.25">
      <c r="A573" s="28" t="s">
        <v>519</v>
      </c>
      <c r="B573" s="29">
        <v>100000000</v>
      </c>
      <c r="C573" s="28" t="s">
        <v>104</v>
      </c>
      <c r="D573" s="29">
        <v>98408000</v>
      </c>
      <c r="E573" s="29">
        <f>B573-F573</f>
        <v>1592000</v>
      </c>
      <c r="F573" s="29">
        <v>98408000</v>
      </c>
      <c r="G573" s="30">
        <v>100</v>
      </c>
      <c r="H573" s="22"/>
      <c r="I573" s="16"/>
      <c r="J573" s="4"/>
      <c r="K573" s="4"/>
      <c r="L573" s="4"/>
      <c r="M573" s="4"/>
      <c r="N573" s="4"/>
    </row>
    <row r="574" spans="1:14" ht="24" x14ac:dyDescent="0.25">
      <c r="A574" s="28" t="s">
        <v>520</v>
      </c>
      <c r="B574" s="29">
        <v>100000000</v>
      </c>
      <c r="C574" s="28" t="s">
        <v>104</v>
      </c>
      <c r="D574" s="29">
        <v>98483000</v>
      </c>
      <c r="E574" s="29">
        <f>B574-F574</f>
        <v>1517000</v>
      </c>
      <c r="F574" s="29">
        <v>98483000</v>
      </c>
      <c r="G574" s="30">
        <v>100</v>
      </c>
      <c r="H574" s="22"/>
      <c r="I574" s="16"/>
    </row>
    <row r="575" spans="1:14" s="32" customFormat="1" ht="24" x14ac:dyDescent="0.25">
      <c r="A575" s="28" t="s">
        <v>521</v>
      </c>
      <c r="B575" s="29">
        <v>100000000</v>
      </c>
      <c r="C575" s="28" t="s">
        <v>104</v>
      </c>
      <c r="D575" s="29">
        <v>96402000</v>
      </c>
      <c r="E575" s="29">
        <f>B575-F575</f>
        <v>3598000</v>
      </c>
      <c r="F575" s="29">
        <v>96402000</v>
      </c>
      <c r="G575" s="30">
        <v>100</v>
      </c>
      <c r="H575" s="22"/>
      <c r="I575" s="16"/>
      <c r="J575" s="4"/>
      <c r="K575" s="4"/>
      <c r="L575" s="4"/>
      <c r="M575" s="4"/>
      <c r="N575" s="4"/>
    </row>
    <row r="576" spans="1:14" s="32" customFormat="1" ht="24" x14ac:dyDescent="0.25">
      <c r="A576" s="28" t="s">
        <v>522</v>
      </c>
      <c r="B576" s="29">
        <v>195000000</v>
      </c>
      <c r="C576" s="28" t="s">
        <v>104</v>
      </c>
      <c r="D576" s="29">
        <v>192179000</v>
      </c>
      <c r="E576" s="29">
        <f>B576-F576</f>
        <v>2821000</v>
      </c>
      <c r="F576" s="29">
        <v>192179000</v>
      </c>
      <c r="G576" s="30">
        <v>100</v>
      </c>
      <c r="H576" s="22"/>
      <c r="I576" s="16"/>
    </row>
    <row r="577" spans="1:14" ht="24" x14ac:dyDescent="0.25">
      <c r="A577" s="28" t="s">
        <v>523</v>
      </c>
      <c r="B577" s="29">
        <v>195000000</v>
      </c>
      <c r="C577" s="28" t="s">
        <v>104</v>
      </c>
      <c r="D577" s="29">
        <v>192481000</v>
      </c>
      <c r="E577" s="29">
        <f>B577-F577</f>
        <v>2519000</v>
      </c>
      <c r="F577" s="29">
        <v>192481000</v>
      </c>
      <c r="G577" s="30">
        <v>100</v>
      </c>
      <c r="H577" s="22"/>
      <c r="I577" s="16"/>
    </row>
    <row r="578" spans="1:14" s="32" customFormat="1" ht="24" x14ac:dyDescent="0.25">
      <c r="A578" s="28" t="s">
        <v>524</v>
      </c>
      <c r="B578" s="29">
        <v>195000000</v>
      </c>
      <c r="C578" s="28" t="s">
        <v>104</v>
      </c>
      <c r="D578" s="29">
        <v>191625000</v>
      </c>
      <c r="E578" s="29">
        <f>B578-F578</f>
        <v>3375000</v>
      </c>
      <c r="F578" s="29">
        <v>191625000</v>
      </c>
      <c r="G578" s="30">
        <v>100</v>
      </c>
      <c r="H578" s="22"/>
      <c r="I578" s="16"/>
    </row>
    <row r="579" spans="1:14" ht="24" x14ac:dyDescent="0.25">
      <c r="A579" s="28" t="s">
        <v>525</v>
      </c>
      <c r="B579" s="29">
        <v>195000000</v>
      </c>
      <c r="C579" s="28" t="s">
        <v>104</v>
      </c>
      <c r="D579" s="29">
        <v>192792000</v>
      </c>
      <c r="E579" s="29">
        <f>B579-F579</f>
        <v>2208000</v>
      </c>
      <c r="F579" s="29">
        <v>192792000</v>
      </c>
      <c r="G579" s="30">
        <v>100</v>
      </c>
      <c r="H579" s="22"/>
      <c r="I579" s="16"/>
      <c r="J579" s="32"/>
      <c r="K579" s="32"/>
      <c r="L579" s="32"/>
      <c r="M579" s="32"/>
      <c r="N579" s="32"/>
    </row>
    <row r="580" spans="1:14" s="32" customFormat="1" ht="24" x14ac:dyDescent="0.25">
      <c r="A580" s="28" t="s">
        <v>526</v>
      </c>
      <c r="B580" s="29">
        <f>195000000-195000000</f>
        <v>0</v>
      </c>
      <c r="C580" s="28" t="s">
        <v>104</v>
      </c>
      <c r="D580" s="29">
        <v>0</v>
      </c>
      <c r="E580" s="29">
        <f>B580-F580</f>
        <v>0</v>
      </c>
      <c r="F580" s="29">
        <v>0</v>
      </c>
      <c r="G580" s="30">
        <v>0</v>
      </c>
      <c r="H580" s="22"/>
      <c r="I580" s="16"/>
      <c r="J580" s="4"/>
      <c r="K580" s="4"/>
      <c r="L580" s="4"/>
      <c r="M580" s="4"/>
      <c r="N580" s="4"/>
    </row>
    <row r="581" spans="1:14" ht="24" x14ac:dyDescent="0.25">
      <c r="A581" s="28" t="s">
        <v>527</v>
      </c>
      <c r="B581" s="29">
        <v>195000000</v>
      </c>
      <c r="C581" s="28" t="s">
        <v>104</v>
      </c>
      <c r="D581" s="29">
        <v>192468000</v>
      </c>
      <c r="E581" s="29">
        <f>B581-F581</f>
        <v>2532000</v>
      </c>
      <c r="F581" s="29">
        <v>192468000</v>
      </c>
      <c r="G581" s="30">
        <v>100</v>
      </c>
      <c r="H581" s="22"/>
      <c r="I581" s="16"/>
      <c r="J581" s="32"/>
      <c r="K581" s="32"/>
      <c r="L581" s="32"/>
      <c r="M581" s="32"/>
      <c r="N581" s="32"/>
    </row>
    <row r="582" spans="1:14" ht="24" x14ac:dyDescent="0.25">
      <c r="A582" s="28" t="s">
        <v>528</v>
      </c>
      <c r="B582" s="29">
        <f>147000000-147000000</f>
        <v>0</v>
      </c>
      <c r="C582" s="28" t="s">
        <v>104</v>
      </c>
      <c r="D582" s="29">
        <v>0</v>
      </c>
      <c r="E582" s="29">
        <f>B582-F582</f>
        <v>0</v>
      </c>
      <c r="F582" s="29">
        <v>0</v>
      </c>
      <c r="G582" s="30">
        <v>0</v>
      </c>
      <c r="H582" s="22"/>
      <c r="I582" s="16"/>
    </row>
    <row r="583" spans="1:14" ht="24" x14ac:dyDescent="0.25">
      <c r="A583" s="28" t="s">
        <v>529</v>
      </c>
      <c r="B583" s="29">
        <v>195000000</v>
      </c>
      <c r="C583" s="28" t="s">
        <v>104</v>
      </c>
      <c r="D583" s="29">
        <v>193141000</v>
      </c>
      <c r="E583" s="29">
        <f>B583-F583</f>
        <v>1859000</v>
      </c>
      <c r="F583" s="29">
        <v>193141000</v>
      </c>
      <c r="G583" s="30">
        <v>100</v>
      </c>
      <c r="H583" s="22"/>
      <c r="I583" s="16"/>
      <c r="J583" s="32"/>
      <c r="K583" s="32"/>
      <c r="L583" s="32"/>
      <c r="M583" s="32"/>
      <c r="N583" s="32"/>
    </row>
    <row r="584" spans="1:14" s="32" customFormat="1" ht="24" x14ac:dyDescent="0.25">
      <c r="A584" s="28" t="s">
        <v>530</v>
      </c>
      <c r="B584" s="29">
        <v>100000000</v>
      </c>
      <c r="C584" s="28" t="s">
        <v>104</v>
      </c>
      <c r="D584" s="29">
        <v>98694000</v>
      </c>
      <c r="E584" s="29">
        <f>B584-F584</f>
        <v>1306000</v>
      </c>
      <c r="F584" s="29">
        <v>98694000</v>
      </c>
      <c r="G584" s="30">
        <v>100</v>
      </c>
      <c r="H584" s="22"/>
      <c r="I584" s="16"/>
      <c r="J584" s="4"/>
      <c r="K584" s="4"/>
      <c r="L584" s="4"/>
      <c r="M584" s="4"/>
      <c r="N584" s="4"/>
    </row>
    <row r="585" spans="1:14" s="32" customFormat="1" ht="24" x14ac:dyDescent="0.25">
      <c r="A585" s="28" t="s">
        <v>531</v>
      </c>
      <c r="B585" s="29">
        <v>195000000</v>
      </c>
      <c r="C585" s="28" t="s">
        <v>104</v>
      </c>
      <c r="D585" s="29">
        <v>192195000</v>
      </c>
      <c r="E585" s="29">
        <f>B585-F585</f>
        <v>2805000</v>
      </c>
      <c r="F585" s="29">
        <v>192195000</v>
      </c>
      <c r="G585" s="30">
        <v>100</v>
      </c>
      <c r="H585" s="22"/>
      <c r="I585" s="16"/>
      <c r="J585" s="4"/>
      <c r="K585" s="4"/>
      <c r="L585" s="4"/>
      <c r="M585" s="4"/>
      <c r="N585" s="4"/>
    </row>
    <row r="586" spans="1:14" ht="24" x14ac:dyDescent="0.25">
      <c r="A586" s="28" t="s">
        <v>532</v>
      </c>
      <c r="B586" s="29">
        <f>195000000-195000000</f>
        <v>0</v>
      </c>
      <c r="C586" s="28" t="s">
        <v>104</v>
      </c>
      <c r="D586" s="29">
        <v>0</v>
      </c>
      <c r="E586" s="29">
        <f>B586-F586</f>
        <v>0</v>
      </c>
      <c r="F586" s="29">
        <v>0</v>
      </c>
      <c r="G586" s="30">
        <v>0</v>
      </c>
      <c r="H586" s="22"/>
      <c r="I586" s="16"/>
    </row>
    <row r="587" spans="1:14" ht="24" x14ac:dyDescent="0.25">
      <c r="A587" s="28" t="s">
        <v>533</v>
      </c>
      <c r="B587" s="29">
        <v>195000000</v>
      </c>
      <c r="C587" s="28" t="s">
        <v>104</v>
      </c>
      <c r="D587" s="29">
        <v>191275000</v>
      </c>
      <c r="E587" s="29">
        <f>B587-F587</f>
        <v>3725000</v>
      </c>
      <c r="F587" s="29">
        <v>191275000</v>
      </c>
      <c r="G587" s="30">
        <v>100</v>
      </c>
      <c r="H587" s="22"/>
      <c r="I587" s="16"/>
      <c r="J587" s="32"/>
      <c r="K587" s="32"/>
      <c r="L587" s="32"/>
      <c r="M587" s="32"/>
      <c r="N587" s="32"/>
    </row>
    <row r="588" spans="1:14" s="32" customFormat="1" ht="24" x14ac:dyDescent="0.25">
      <c r="A588" s="28" t="s">
        <v>534</v>
      </c>
      <c r="B588" s="29">
        <v>195000000</v>
      </c>
      <c r="C588" s="28" t="s">
        <v>104</v>
      </c>
      <c r="D588" s="29">
        <v>191178000</v>
      </c>
      <c r="E588" s="29">
        <f>B588-F588</f>
        <v>3822000</v>
      </c>
      <c r="F588" s="29">
        <v>191178000</v>
      </c>
      <c r="G588" s="30">
        <v>100</v>
      </c>
      <c r="H588" s="22"/>
      <c r="I588" s="16"/>
    </row>
    <row r="589" spans="1:14" s="32" customFormat="1" ht="24" x14ac:dyDescent="0.25">
      <c r="A589" s="28" t="s">
        <v>535</v>
      </c>
      <c r="B589" s="29">
        <f>147000000-147000000</f>
        <v>0</v>
      </c>
      <c r="C589" s="28" t="s">
        <v>104</v>
      </c>
      <c r="D589" s="29">
        <v>0</v>
      </c>
      <c r="E589" s="29">
        <f>B589-F589</f>
        <v>0</v>
      </c>
      <c r="F589" s="29">
        <v>0</v>
      </c>
      <c r="G589" s="30">
        <v>0</v>
      </c>
      <c r="H589" s="22"/>
      <c r="I589" s="16"/>
      <c r="J589" s="4"/>
      <c r="K589" s="4"/>
      <c r="L589" s="4"/>
      <c r="M589" s="4"/>
      <c r="N589" s="4"/>
    </row>
    <row r="590" spans="1:14" ht="24" x14ac:dyDescent="0.25">
      <c r="A590" s="28" t="s">
        <v>536</v>
      </c>
      <c r="B590" s="29">
        <v>485000000</v>
      </c>
      <c r="C590" s="28" t="s">
        <v>104</v>
      </c>
      <c r="D590" s="29">
        <v>478508000</v>
      </c>
      <c r="E590" s="29">
        <f>B590-F590</f>
        <v>6492000</v>
      </c>
      <c r="F590" s="29">
        <v>478508000</v>
      </c>
      <c r="G590" s="30">
        <v>100</v>
      </c>
      <c r="H590" s="22"/>
      <c r="I590" s="16"/>
    </row>
    <row r="591" spans="1:14" s="32" customFormat="1" ht="24" x14ac:dyDescent="0.25">
      <c r="A591" s="28" t="s">
        <v>537</v>
      </c>
      <c r="B591" s="29">
        <v>195000000</v>
      </c>
      <c r="C591" s="28" t="s">
        <v>104</v>
      </c>
      <c r="D591" s="29">
        <v>193102000</v>
      </c>
      <c r="E591" s="29">
        <f>B591-F591</f>
        <v>1898000</v>
      </c>
      <c r="F591" s="29">
        <v>193102000</v>
      </c>
      <c r="G591" s="30">
        <v>100</v>
      </c>
      <c r="H591" s="22"/>
      <c r="I591" s="16"/>
    </row>
    <row r="592" spans="1:14" ht="24" x14ac:dyDescent="0.25">
      <c r="A592" s="28" t="s">
        <v>538</v>
      </c>
      <c r="B592" s="29">
        <v>147000000</v>
      </c>
      <c r="C592" s="28" t="s">
        <v>104</v>
      </c>
      <c r="D592" s="29">
        <v>144186000</v>
      </c>
      <c r="E592" s="29">
        <f>B592-F592</f>
        <v>2814000</v>
      </c>
      <c r="F592" s="29">
        <v>144186000</v>
      </c>
      <c r="G592" s="30">
        <v>100</v>
      </c>
      <c r="H592" s="22"/>
      <c r="I592" s="16"/>
      <c r="J592" s="32"/>
      <c r="K592" s="32"/>
      <c r="L592" s="32"/>
      <c r="M592" s="32"/>
      <c r="N592" s="32"/>
    </row>
    <row r="593" spans="1:14" s="32" customFormat="1" ht="24" x14ac:dyDescent="0.25">
      <c r="A593" s="28" t="s">
        <v>539</v>
      </c>
      <c r="B593" s="29">
        <v>147000000</v>
      </c>
      <c r="C593" s="28" t="s">
        <v>104</v>
      </c>
      <c r="D593" s="29">
        <v>144694000</v>
      </c>
      <c r="E593" s="29">
        <f>B593-F593</f>
        <v>2306000</v>
      </c>
      <c r="F593" s="29">
        <v>144694000</v>
      </c>
      <c r="G593" s="30">
        <v>100</v>
      </c>
      <c r="H593" s="22"/>
      <c r="I593" s="16"/>
      <c r="J593" s="4"/>
      <c r="K593" s="4"/>
      <c r="L593" s="4"/>
      <c r="M593" s="4"/>
      <c r="N593" s="4"/>
    </row>
    <row r="594" spans="1:14" s="32" customFormat="1" ht="24" x14ac:dyDescent="0.25">
      <c r="A594" s="28" t="s">
        <v>540</v>
      </c>
      <c r="B594" s="29">
        <v>147000000</v>
      </c>
      <c r="C594" s="28" t="s">
        <v>104</v>
      </c>
      <c r="D594" s="29">
        <v>144537000</v>
      </c>
      <c r="E594" s="29">
        <f>B594-F594</f>
        <v>2463000</v>
      </c>
      <c r="F594" s="29">
        <v>144537000</v>
      </c>
      <c r="G594" s="30">
        <v>100</v>
      </c>
      <c r="H594" s="22"/>
      <c r="I594" s="16"/>
    </row>
    <row r="595" spans="1:14" s="32" customFormat="1" ht="24" x14ac:dyDescent="0.25">
      <c r="A595" s="28" t="s">
        <v>541</v>
      </c>
      <c r="B595" s="29">
        <v>565000000</v>
      </c>
      <c r="C595" s="28" t="s">
        <v>104</v>
      </c>
      <c r="D595" s="29">
        <v>555451767</v>
      </c>
      <c r="E595" s="29">
        <f>B595-F595</f>
        <v>9548233</v>
      </c>
      <c r="F595" s="29">
        <f>166635530+388816237</f>
        <v>555451767</v>
      </c>
      <c r="G595" s="30">
        <v>100</v>
      </c>
      <c r="H595" s="22"/>
      <c r="I595" s="16"/>
      <c r="J595" s="4"/>
      <c r="K595" s="4"/>
      <c r="L595" s="4"/>
      <c r="M595" s="4"/>
      <c r="N595" s="4"/>
    </row>
    <row r="596" spans="1:14" ht="24" x14ac:dyDescent="0.25">
      <c r="A596" s="28" t="s">
        <v>542</v>
      </c>
      <c r="B596" s="29">
        <v>195000000</v>
      </c>
      <c r="C596" s="28" t="s">
        <v>104</v>
      </c>
      <c r="D596" s="29">
        <v>191850000</v>
      </c>
      <c r="E596" s="29">
        <f>B596-F596</f>
        <v>3150000</v>
      </c>
      <c r="F596" s="29">
        <v>191850000</v>
      </c>
      <c r="G596" s="30">
        <v>100</v>
      </c>
      <c r="H596" s="22"/>
      <c r="I596" s="16"/>
      <c r="J596" s="32"/>
      <c r="K596" s="32"/>
      <c r="L596" s="32"/>
      <c r="M596" s="32"/>
      <c r="N596" s="32"/>
    </row>
    <row r="597" spans="1:14" s="32" customFormat="1" ht="24" x14ac:dyDescent="0.25">
      <c r="A597" s="28" t="s">
        <v>543</v>
      </c>
      <c r="B597" s="29">
        <v>147000000</v>
      </c>
      <c r="C597" s="28" t="s">
        <v>104</v>
      </c>
      <c r="D597" s="29">
        <v>145083000</v>
      </c>
      <c r="E597" s="29">
        <f>B597-F597</f>
        <v>1917000</v>
      </c>
      <c r="F597" s="29">
        <v>145083000</v>
      </c>
      <c r="G597" s="30">
        <v>100</v>
      </c>
      <c r="H597" s="22"/>
      <c r="I597" s="16"/>
    </row>
    <row r="598" spans="1:14" s="32" customFormat="1" ht="24" x14ac:dyDescent="0.25">
      <c r="A598" s="28" t="s">
        <v>544</v>
      </c>
      <c r="B598" s="29">
        <v>147000000</v>
      </c>
      <c r="C598" s="28" t="s">
        <v>104</v>
      </c>
      <c r="D598" s="29">
        <v>144959000</v>
      </c>
      <c r="E598" s="29">
        <f>B598-F598</f>
        <v>2041000</v>
      </c>
      <c r="F598" s="29">
        <v>144959000</v>
      </c>
      <c r="G598" s="30">
        <v>100</v>
      </c>
      <c r="H598" s="22"/>
      <c r="I598" s="16"/>
    </row>
    <row r="599" spans="1:14" s="32" customFormat="1" ht="24" x14ac:dyDescent="0.25">
      <c r="A599" s="28" t="s">
        <v>545</v>
      </c>
      <c r="B599" s="29">
        <v>195000000</v>
      </c>
      <c r="C599" s="28" t="s">
        <v>104</v>
      </c>
      <c r="D599" s="29">
        <v>192388000</v>
      </c>
      <c r="E599" s="29">
        <f>B599-F599</f>
        <v>2612000</v>
      </c>
      <c r="F599" s="29">
        <v>192388000</v>
      </c>
      <c r="G599" s="30">
        <v>100</v>
      </c>
      <c r="H599" s="22"/>
      <c r="I599" s="16"/>
      <c r="J599" s="4"/>
      <c r="K599" s="4"/>
      <c r="L599" s="4"/>
      <c r="M599" s="4"/>
      <c r="N599" s="4"/>
    </row>
    <row r="600" spans="1:14" ht="24" x14ac:dyDescent="0.25">
      <c r="A600" s="28" t="s">
        <v>546</v>
      </c>
      <c r="B600" s="29">
        <v>195000000</v>
      </c>
      <c r="C600" s="28" t="s">
        <v>104</v>
      </c>
      <c r="D600" s="29">
        <v>192167000</v>
      </c>
      <c r="E600" s="29">
        <f>B600-F600</f>
        <v>2833000</v>
      </c>
      <c r="F600" s="29">
        <v>192167000</v>
      </c>
      <c r="G600" s="30">
        <v>100</v>
      </c>
      <c r="H600" s="22"/>
      <c r="I600" s="16"/>
      <c r="J600" s="32"/>
      <c r="K600" s="32"/>
      <c r="L600" s="32"/>
      <c r="M600" s="32"/>
      <c r="N600" s="32"/>
    </row>
    <row r="601" spans="1:14" s="32" customFormat="1" ht="24" x14ac:dyDescent="0.25">
      <c r="A601" s="28" t="s">
        <v>547</v>
      </c>
      <c r="B601" s="29">
        <v>195000000</v>
      </c>
      <c r="C601" s="28" t="s">
        <v>104</v>
      </c>
      <c r="D601" s="29">
        <v>191818700</v>
      </c>
      <c r="E601" s="29">
        <f>B601-F601</f>
        <v>3181300</v>
      </c>
      <c r="F601" s="29">
        <v>191818700</v>
      </c>
      <c r="G601" s="30">
        <v>100</v>
      </c>
      <c r="H601" s="22"/>
      <c r="I601" s="16"/>
    </row>
    <row r="602" spans="1:14" s="32" customFormat="1" ht="24" x14ac:dyDescent="0.25">
      <c r="A602" s="28" t="s">
        <v>548</v>
      </c>
      <c r="B602" s="29">
        <v>195000000</v>
      </c>
      <c r="C602" s="28" t="s">
        <v>104</v>
      </c>
      <c r="D602" s="29">
        <v>192928000</v>
      </c>
      <c r="E602" s="29">
        <f>B602-F602</f>
        <v>2072000</v>
      </c>
      <c r="F602" s="29">
        <v>192928000</v>
      </c>
      <c r="G602" s="30">
        <v>100</v>
      </c>
      <c r="H602" s="22"/>
      <c r="I602" s="16"/>
    </row>
    <row r="603" spans="1:14" s="32" customFormat="1" ht="24" x14ac:dyDescent="0.25">
      <c r="A603" s="28" t="s">
        <v>549</v>
      </c>
      <c r="B603" s="29">
        <v>390000000</v>
      </c>
      <c r="C603" s="28" t="s">
        <v>104</v>
      </c>
      <c r="D603" s="29">
        <v>382930000</v>
      </c>
      <c r="E603" s="29">
        <f>B603-F603</f>
        <v>7070000</v>
      </c>
      <c r="F603" s="29">
        <v>382930000</v>
      </c>
      <c r="G603" s="30">
        <v>100</v>
      </c>
      <c r="H603" s="22"/>
      <c r="I603" s="16"/>
      <c r="J603" s="4"/>
      <c r="K603" s="4"/>
      <c r="L603" s="4"/>
      <c r="M603" s="4"/>
      <c r="N603" s="4"/>
    </row>
    <row r="604" spans="1:14" s="32" customFormat="1" ht="24" x14ac:dyDescent="0.25">
      <c r="A604" s="28" t="s">
        <v>550</v>
      </c>
      <c r="B604" s="29">
        <v>195000000</v>
      </c>
      <c r="C604" s="28" t="s">
        <v>104</v>
      </c>
      <c r="D604" s="29">
        <v>191438000</v>
      </c>
      <c r="E604" s="29">
        <f>B604-F604</f>
        <v>3562000</v>
      </c>
      <c r="F604" s="29">
        <v>191438000</v>
      </c>
      <c r="G604" s="30">
        <v>100</v>
      </c>
      <c r="H604" s="22"/>
      <c r="I604" s="16"/>
    </row>
    <row r="605" spans="1:14" ht="24" x14ac:dyDescent="0.25">
      <c r="A605" s="28" t="s">
        <v>551</v>
      </c>
      <c r="B605" s="29">
        <v>195000000</v>
      </c>
      <c r="C605" s="28" t="s">
        <v>104</v>
      </c>
      <c r="D605" s="29">
        <v>192888000</v>
      </c>
      <c r="E605" s="29">
        <f>B605-F605</f>
        <v>2112000</v>
      </c>
      <c r="F605" s="29">
        <v>192888000</v>
      </c>
      <c r="G605" s="30">
        <v>100</v>
      </c>
      <c r="H605" s="22"/>
      <c r="I605" s="16"/>
      <c r="J605" s="32"/>
      <c r="K605" s="32"/>
      <c r="L605" s="32"/>
      <c r="M605" s="32"/>
      <c r="N605" s="32"/>
    </row>
    <row r="606" spans="1:14" s="32" customFormat="1" ht="24" x14ac:dyDescent="0.25">
      <c r="A606" s="28" t="s">
        <v>552</v>
      </c>
      <c r="B606" s="29">
        <v>195000000</v>
      </c>
      <c r="C606" s="28" t="s">
        <v>104</v>
      </c>
      <c r="D606" s="29">
        <v>192898000</v>
      </c>
      <c r="E606" s="29">
        <f>B606-F606</f>
        <v>2102000</v>
      </c>
      <c r="F606" s="29">
        <v>192898000</v>
      </c>
      <c r="G606" s="30">
        <v>100</v>
      </c>
      <c r="H606" s="22"/>
      <c r="I606" s="16"/>
    </row>
    <row r="607" spans="1:14" s="32" customFormat="1" ht="24" x14ac:dyDescent="0.25">
      <c r="A607" s="28" t="s">
        <v>553</v>
      </c>
      <c r="B607" s="29">
        <v>195000000</v>
      </c>
      <c r="C607" s="28" t="s">
        <v>104</v>
      </c>
      <c r="D607" s="29">
        <v>192842000</v>
      </c>
      <c r="E607" s="29">
        <f>B607-F607</f>
        <v>2158000</v>
      </c>
      <c r="F607" s="29">
        <v>192842000</v>
      </c>
      <c r="G607" s="30">
        <v>100</v>
      </c>
      <c r="H607" s="22"/>
      <c r="I607" s="16"/>
    </row>
    <row r="608" spans="1:14" s="32" customFormat="1" ht="24" x14ac:dyDescent="0.25">
      <c r="A608" s="28" t="s">
        <v>554</v>
      </c>
      <c r="B608" s="29">
        <v>485000000</v>
      </c>
      <c r="C608" s="28" t="s">
        <v>104</v>
      </c>
      <c r="D608" s="29">
        <v>476984000</v>
      </c>
      <c r="E608" s="29">
        <f>B608-F608</f>
        <v>8016000</v>
      </c>
      <c r="F608" s="29">
        <v>476984000</v>
      </c>
      <c r="G608" s="30">
        <v>100</v>
      </c>
      <c r="H608" s="22"/>
      <c r="I608" s="16"/>
      <c r="J608" s="4"/>
      <c r="K608" s="4"/>
      <c r="L608" s="4"/>
      <c r="M608" s="4"/>
      <c r="N608" s="4"/>
    </row>
    <row r="609" spans="1:14" s="32" customFormat="1" ht="24" x14ac:dyDescent="0.25">
      <c r="A609" s="28" t="s">
        <v>555</v>
      </c>
      <c r="B609" s="29">
        <v>195000000</v>
      </c>
      <c r="C609" s="28" t="s">
        <v>104</v>
      </c>
      <c r="D609" s="29">
        <v>191694000</v>
      </c>
      <c r="E609" s="29">
        <f>B609-F609</f>
        <v>3306000</v>
      </c>
      <c r="F609" s="29">
        <v>191694000</v>
      </c>
      <c r="G609" s="30">
        <v>100</v>
      </c>
      <c r="H609" s="22"/>
      <c r="I609" s="16"/>
    </row>
    <row r="610" spans="1:14" s="32" customFormat="1" ht="24" x14ac:dyDescent="0.25">
      <c r="A610" s="28" t="s">
        <v>556</v>
      </c>
      <c r="B610" s="29">
        <v>195000000</v>
      </c>
      <c r="C610" s="28" t="s">
        <v>104</v>
      </c>
      <c r="D610" s="29">
        <v>192768000</v>
      </c>
      <c r="E610" s="29">
        <f>B610-F610</f>
        <v>2232000</v>
      </c>
      <c r="F610" s="29">
        <v>192768000</v>
      </c>
      <c r="G610" s="30">
        <v>100</v>
      </c>
      <c r="H610" s="22"/>
      <c r="I610" s="16"/>
    </row>
    <row r="611" spans="1:14" s="32" customFormat="1" ht="24" x14ac:dyDescent="0.25">
      <c r="A611" s="28" t="s">
        <v>557</v>
      </c>
      <c r="B611" s="29">
        <v>195000000</v>
      </c>
      <c r="C611" s="28" t="s">
        <v>104</v>
      </c>
      <c r="D611" s="29">
        <v>192687000</v>
      </c>
      <c r="E611" s="29">
        <f>B611-F611</f>
        <v>2313000</v>
      </c>
      <c r="F611" s="29">
        <v>192687000</v>
      </c>
      <c r="G611" s="30">
        <v>100</v>
      </c>
      <c r="H611" s="22"/>
      <c r="I611" s="16"/>
    </row>
    <row r="612" spans="1:14" s="32" customFormat="1" ht="24" x14ac:dyDescent="0.25">
      <c r="A612" s="28" t="s">
        <v>558</v>
      </c>
      <c r="B612" s="29">
        <v>98000000</v>
      </c>
      <c r="C612" s="28" t="s">
        <v>104</v>
      </c>
      <c r="D612" s="29">
        <v>94431000</v>
      </c>
      <c r="E612" s="29">
        <f>B612-F612</f>
        <v>3569000</v>
      </c>
      <c r="F612" s="29">
        <v>94431000</v>
      </c>
      <c r="G612" s="30">
        <v>100</v>
      </c>
      <c r="H612" s="22"/>
      <c r="I612" s="16"/>
    </row>
    <row r="613" spans="1:14" ht="24" x14ac:dyDescent="0.25">
      <c r="A613" s="28" t="s">
        <v>559</v>
      </c>
      <c r="B613" s="29">
        <v>195000000</v>
      </c>
      <c r="C613" s="28" t="s">
        <v>104</v>
      </c>
      <c r="D613" s="29">
        <v>191711000</v>
      </c>
      <c r="E613" s="29">
        <f>B613-F613</f>
        <v>3289000</v>
      </c>
      <c r="F613" s="29">
        <v>191711000</v>
      </c>
      <c r="G613" s="30">
        <v>100</v>
      </c>
      <c r="H613" s="22"/>
      <c r="I613" s="16"/>
      <c r="J613" s="32"/>
      <c r="K613" s="32"/>
      <c r="L613" s="32"/>
      <c r="M613" s="32"/>
      <c r="N613" s="32"/>
    </row>
    <row r="614" spans="1:14" s="32" customFormat="1" ht="24" x14ac:dyDescent="0.25">
      <c r="A614" s="28" t="s">
        <v>560</v>
      </c>
      <c r="B614" s="29">
        <v>195000000</v>
      </c>
      <c r="C614" s="28" t="s">
        <v>104</v>
      </c>
      <c r="D614" s="29">
        <v>192576000</v>
      </c>
      <c r="E614" s="29">
        <f>B614-F614</f>
        <v>2424000</v>
      </c>
      <c r="F614" s="29">
        <v>192576000</v>
      </c>
      <c r="G614" s="30">
        <v>100</v>
      </c>
      <c r="H614" s="22"/>
      <c r="I614" s="16"/>
    </row>
    <row r="615" spans="1:14" s="32" customFormat="1" ht="24" x14ac:dyDescent="0.25">
      <c r="A615" s="28" t="s">
        <v>561</v>
      </c>
      <c r="B615" s="29">
        <v>195000000</v>
      </c>
      <c r="C615" s="28" t="s">
        <v>104</v>
      </c>
      <c r="D615" s="29">
        <v>192088000</v>
      </c>
      <c r="E615" s="29">
        <f>B615-F615</f>
        <v>2912000</v>
      </c>
      <c r="F615" s="29">
        <v>192088000</v>
      </c>
      <c r="G615" s="30">
        <v>100</v>
      </c>
      <c r="H615" s="22"/>
      <c r="I615" s="16"/>
    </row>
    <row r="616" spans="1:14" s="32" customFormat="1" ht="24" x14ac:dyDescent="0.25">
      <c r="A616" s="28" t="s">
        <v>562</v>
      </c>
      <c r="B616" s="29">
        <f>100000000+147000000</f>
        <v>247000000</v>
      </c>
      <c r="C616" s="28" t="s">
        <v>104</v>
      </c>
      <c r="D616" s="29">
        <v>242421000</v>
      </c>
      <c r="E616" s="29">
        <f>B616-F616</f>
        <v>4579000</v>
      </c>
      <c r="F616" s="29">
        <v>242421000</v>
      </c>
      <c r="G616" s="30">
        <v>100</v>
      </c>
      <c r="H616" s="28"/>
      <c r="I616" s="16"/>
      <c r="J616" s="4"/>
      <c r="K616" s="4"/>
      <c r="L616" s="4"/>
      <c r="M616" s="4"/>
      <c r="N616" s="4"/>
    </row>
    <row r="617" spans="1:14" s="32" customFormat="1" ht="24" x14ac:dyDescent="0.25">
      <c r="A617" s="28" t="s">
        <v>563</v>
      </c>
      <c r="B617" s="29">
        <v>195000000</v>
      </c>
      <c r="C617" s="28" t="s">
        <v>104</v>
      </c>
      <c r="D617" s="29">
        <v>192953000</v>
      </c>
      <c r="E617" s="29">
        <f>B617-F617</f>
        <v>2047000</v>
      </c>
      <c r="F617" s="29">
        <v>192953000</v>
      </c>
      <c r="G617" s="30">
        <v>100</v>
      </c>
      <c r="H617" s="22"/>
      <c r="I617" s="16"/>
    </row>
    <row r="618" spans="1:14" ht="24" x14ac:dyDescent="0.25">
      <c r="A618" s="28" t="s">
        <v>564</v>
      </c>
      <c r="B618" s="29">
        <v>195000000</v>
      </c>
      <c r="C618" s="28" t="s">
        <v>104</v>
      </c>
      <c r="D618" s="29">
        <v>191685000</v>
      </c>
      <c r="E618" s="29">
        <f>B618-F618</f>
        <v>3315000</v>
      </c>
      <c r="F618" s="29">
        <v>191685000</v>
      </c>
      <c r="G618" s="30">
        <v>100</v>
      </c>
      <c r="H618" s="22"/>
      <c r="I618" s="16"/>
      <c r="J618" s="32"/>
      <c r="K618" s="32"/>
      <c r="L618" s="32"/>
      <c r="M618" s="32"/>
      <c r="N618" s="32"/>
    </row>
    <row r="619" spans="1:14" ht="24" x14ac:dyDescent="0.25">
      <c r="A619" s="28" t="s">
        <v>565</v>
      </c>
      <c r="B619" s="29">
        <v>195000000</v>
      </c>
      <c r="C619" s="28" t="s">
        <v>104</v>
      </c>
      <c r="D619" s="29">
        <v>193231000</v>
      </c>
      <c r="E619" s="29">
        <f>B619-F619</f>
        <v>1769000</v>
      </c>
      <c r="F619" s="29">
        <v>193231000</v>
      </c>
      <c r="G619" s="30">
        <v>100</v>
      </c>
      <c r="H619" s="22"/>
      <c r="I619" s="16"/>
      <c r="J619" s="32"/>
      <c r="K619" s="32"/>
      <c r="L619" s="32"/>
      <c r="M619" s="32"/>
      <c r="N619" s="32"/>
    </row>
    <row r="620" spans="1:14" ht="24" x14ac:dyDescent="0.25">
      <c r="A620" s="28" t="s">
        <v>566</v>
      </c>
      <c r="B620" s="29">
        <v>715000000</v>
      </c>
      <c r="C620" s="28" t="s">
        <v>104</v>
      </c>
      <c r="D620" s="29">
        <v>710455416</v>
      </c>
      <c r="E620" s="29">
        <f>B620-F620</f>
        <v>4544584</v>
      </c>
      <c r="F620" s="29">
        <f>213136625+497318791</f>
        <v>710455416</v>
      </c>
      <c r="G620" s="30">
        <v>100</v>
      </c>
      <c r="H620" s="22"/>
      <c r="I620" s="16"/>
      <c r="J620" s="32"/>
      <c r="K620" s="32"/>
      <c r="L620" s="32"/>
      <c r="M620" s="32"/>
      <c r="N620" s="32"/>
    </row>
    <row r="621" spans="1:14" ht="24" x14ac:dyDescent="0.25">
      <c r="A621" s="28" t="s">
        <v>567</v>
      </c>
      <c r="B621" s="29">
        <v>930000000</v>
      </c>
      <c r="C621" s="28" t="s">
        <v>104</v>
      </c>
      <c r="D621" s="29">
        <v>921322853</v>
      </c>
      <c r="E621" s="29">
        <f>B621-F621</f>
        <v>8677147</v>
      </c>
      <c r="F621" s="29">
        <v>921322853</v>
      </c>
      <c r="G621" s="30">
        <v>100</v>
      </c>
      <c r="H621" s="22"/>
      <c r="I621" s="16"/>
    </row>
    <row r="622" spans="1:14" ht="48" x14ac:dyDescent="0.25">
      <c r="A622" s="28" t="s">
        <v>568</v>
      </c>
      <c r="B622" s="29">
        <f>195000000+195000000+147000000</f>
        <v>537000000</v>
      </c>
      <c r="C622" s="28" t="s">
        <v>104</v>
      </c>
      <c r="D622" s="29">
        <v>528111000</v>
      </c>
      <c r="E622" s="29">
        <f>B622-F622</f>
        <v>8889000</v>
      </c>
      <c r="F622" s="29">
        <v>528111000</v>
      </c>
      <c r="G622" s="30">
        <v>100</v>
      </c>
      <c r="H622" s="22"/>
      <c r="I622" s="16"/>
    </row>
    <row r="623" spans="1:14" s="32" customFormat="1" ht="24" x14ac:dyDescent="0.25">
      <c r="A623" s="28" t="s">
        <v>569</v>
      </c>
      <c r="B623" s="29">
        <v>760000000</v>
      </c>
      <c r="C623" s="28" t="s">
        <v>104</v>
      </c>
      <c r="D623" s="29">
        <v>747370105</v>
      </c>
      <c r="E623" s="29">
        <f>B623-F623</f>
        <v>12629895</v>
      </c>
      <c r="F623" s="29">
        <v>747370105</v>
      </c>
      <c r="G623" s="30">
        <v>100</v>
      </c>
      <c r="H623" s="22"/>
      <c r="I623" s="16"/>
      <c r="J623" s="4"/>
      <c r="K623" s="4"/>
      <c r="L623" s="4"/>
      <c r="M623" s="4"/>
      <c r="N623" s="4"/>
    </row>
    <row r="624" spans="1:14" ht="24" x14ac:dyDescent="0.25">
      <c r="A624" s="28" t="s">
        <v>570</v>
      </c>
      <c r="B624" s="29">
        <v>195000000</v>
      </c>
      <c r="C624" s="28" t="s">
        <v>104</v>
      </c>
      <c r="D624" s="29">
        <v>192158000</v>
      </c>
      <c r="E624" s="29">
        <f>B624-F624</f>
        <v>2842000</v>
      </c>
      <c r="F624" s="29">
        <v>192158000</v>
      </c>
      <c r="G624" s="30">
        <v>100</v>
      </c>
      <c r="H624" s="22"/>
      <c r="I624" s="16"/>
    </row>
    <row r="625" spans="1:14" ht="24" x14ac:dyDescent="0.25">
      <c r="A625" s="28" t="s">
        <v>571</v>
      </c>
      <c r="B625" s="29">
        <v>195000000</v>
      </c>
      <c r="C625" s="28" t="s">
        <v>104</v>
      </c>
      <c r="D625" s="29">
        <v>192210000</v>
      </c>
      <c r="E625" s="29">
        <f>B625-F625</f>
        <v>2790000</v>
      </c>
      <c r="F625" s="29">
        <v>192210000</v>
      </c>
      <c r="G625" s="30">
        <v>100</v>
      </c>
      <c r="H625" s="22"/>
      <c r="I625" s="16"/>
    </row>
    <row r="626" spans="1:14" s="32" customFormat="1" ht="24" x14ac:dyDescent="0.25">
      <c r="A626" s="28" t="s">
        <v>572</v>
      </c>
      <c r="B626" s="29">
        <v>195000000</v>
      </c>
      <c r="C626" s="28" t="s">
        <v>104</v>
      </c>
      <c r="D626" s="29">
        <v>193806000</v>
      </c>
      <c r="E626" s="29">
        <f>B626-F626</f>
        <v>1194000</v>
      </c>
      <c r="F626" s="29">
        <v>193806000</v>
      </c>
      <c r="G626" s="30">
        <v>100</v>
      </c>
      <c r="H626" s="22"/>
      <c r="I626" s="16"/>
    </row>
    <row r="627" spans="1:14" s="32" customFormat="1" ht="24" x14ac:dyDescent="0.25">
      <c r="A627" s="28" t="s">
        <v>573</v>
      </c>
      <c r="B627" s="29">
        <f>195000000-195000000</f>
        <v>0</v>
      </c>
      <c r="C627" s="28" t="s">
        <v>104</v>
      </c>
      <c r="D627" s="29">
        <v>0</v>
      </c>
      <c r="E627" s="29">
        <f>B627-F627</f>
        <v>0</v>
      </c>
      <c r="F627" s="29">
        <v>0</v>
      </c>
      <c r="G627" s="30">
        <v>0</v>
      </c>
      <c r="H627" s="22"/>
      <c r="I627" s="16"/>
      <c r="J627" s="4"/>
      <c r="K627" s="4"/>
      <c r="L627" s="4"/>
      <c r="M627" s="4"/>
      <c r="N627" s="4"/>
    </row>
    <row r="628" spans="1:14" ht="24" x14ac:dyDescent="0.25">
      <c r="A628" s="28" t="s">
        <v>574</v>
      </c>
      <c r="B628" s="29">
        <v>715000000</v>
      </c>
      <c r="C628" s="28" t="s">
        <v>104</v>
      </c>
      <c r="D628" s="29">
        <v>702863700</v>
      </c>
      <c r="E628" s="29">
        <f>B628-F628</f>
        <v>12136300</v>
      </c>
      <c r="F628" s="29">
        <v>702863700</v>
      </c>
      <c r="G628" s="30">
        <v>100</v>
      </c>
      <c r="H628" s="22"/>
      <c r="I628" s="16"/>
    </row>
    <row r="629" spans="1:14" s="32" customFormat="1" ht="24" x14ac:dyDescent="0.25">
      <c r="A629" s="28" t="s">
        <v>575</v>
      </c>
      <c r="B629" s="29">
        <v>195000000</v>
      </c>
      <c r="C629" s="28" t="s">
        <v>104</v>
      </c>
      <c r="D629" s="29">
        <v>192549000</v>
      </c>
      <c r="E629" s="29">
        <f>B629-F629</f>
        <v>2451000</v>
      </c>
      <c r="F629" s="29">
        <v>192549000</v>
      </c>
      <c r="G629" s="30">
        <v>100</v>
      </c>
      <c r="H629" s="22"/>
      <c r="I629" s="16"/>
    </row>
    <row r="630" spans="1:14" s="32" customFormat="1" ht="24" x14ac:dyDescent="0.25">
      <c r="A630" s="28" t="s">
        <v>576</v>
      </c>
      <c r="B630" s="29">
        <v>195000000</v>
      </c>
      <c r="C630" s="28" t="s">
        <v>104</v>
      </c>
      <c r="D630" s="29">
        <v>193000000</v>
      </c>
      <c r="E630" s="29">
        <f>B630-F630</f>
        <v>2000000</v>
      </c>
      <c r="F630" s="29">
        <v>193000000</v>
      </c>
      <c r="G630" s="30">
        <v>100</v>
      </c>
      <c r="H630" s="22"/>
      <c r="I630" s="16"/>
    </row>
    <row r="631" spans="1:14" s="32" customFormat="1" ht="24" x14ac:dyDescent="0.25">
      <c r="A631" s="28" t="s">
        <v>577</v>
      </c>
      <c r="B631" s="29">
        <f>195000000-195000000</f>
        <v>0</v>
      </c>
      <c r="C631" s="28" t="s">
        <v>104</v>
      </c>
      <c r="D631" s="29">
        <v>0</v>
      </c>
      <c r="E631" s="29">
        <f>B631-F631</f>
        <v>0</v>
      </c>
      <c r="F631" s="29">
        <v>0</v>
      </c>
      <c r="G631" s="30">
        <v>0</v>
      </c>
      <c r="H631" s="22"/>
      <c r="I631" s="16"/>
      <c r="J631" s="4"/>
      <c r="K631" s="4"/>
      <c r="L631" s="4"/>
      <c r="M631" s="4"/>
      <c r="N631" s="4"/>
    </row>
    <row r="632" spans="1:14" s="32" customFormat="1" ht="24" x14ac:dyDescent="0.25">
      <c r="A632" s="28" t="s">
        <v>578</v>
      </c>
      <c r="B632" s="29">
        <v>147000000</v>
      </c>
      <c r="C632" s="28" t="s">
        <v>104</v>
      </c>
      <c r="D632" s="29">
        <v>145056000</v>
      </c>
      <c r="E632" s="29">
        <f>B632-F632</f>
        <v>1944000</v>
      </c>
      <c r="F632" s="29">
        <v>145056000</v>
      </c>
      <c r="G632" s="30">
        <v>100</v>
      </c>
      <c r="H632" s="22"/>
      <c r="I632" s="16"/>
    </row>
    <row r="633" spans="1:14" ht="24" x14ac:dyDescent="0.25">
      <c r="A633" s="28" t="s">
        <v>579</v>
      </c>
      <c r="B633" s="29">
        <v>195000000</v>
      </c>
      <c r="C633" s="28" t="s">
        <v>104</v>
      </c>
      <c r="D633" s="29">
        <v>192438000</v>
      </c>
      <c r="E633" s="29">
        <f>B633-F633</f>
        <v>2562000</v>
      </c>
      <c r="F633" s="29">
        <v>192438000</v>
      </c>
      <c r="G633" s="30">
        <v>100</v>
      </c>
      <c r="H633" s="22"/>
      <c r="I633" s="16"/>
      <c r="J633" s="32"/>
      <c r="K633" s="32"/>
      <c r="L633" s="32"/>
      <c r="M633" s="32"/>
      <c r="N633" s="32"/>
    </row>
    <row r="634" spans="1:14" ht="24" x14ac:dyDescent="0.25">
      <c r="A634" s="28" t="s">
        <v>580</v>
      </c>
      <c r="B634" s="29">
        <v>195000000</v>
      </c>
      <c r="C634" s="28" t="s">
        <v>104</v>
      </c>
      <c r="D634" s="29">
        <v>191663000</v>
      </c>
      <c r="E634" s="29">
        <f>B634-F634</f>
        <v>3337000</v>
      </c>
      <c r="F634" s="29">
        <v>191663000</v>
      </c>
      <c r="G634" s="30">
        <v>100</v>
      </c>
      <c r="H634" s="22"/>
      <c r="I634" s="16"/>
      <c r="J634" s="32"/>
      <c r="K634" s="32"/>
      <c r="L634" s="32"/>
      <c r="M634" s="32"/>
      <c r="N634" s="32"/>
    </row>
    <row r="635" spans="1:14" ht="24" x14ac:dyDescent="0.25">
      <c r="A635" s="28" t="s">
        <v>581</v>
      </c>
      <c r="B635" s="29">
        <v>195000000</v>
      </c>
      <c r="C635" s="28" t="s">
        <v>104</v>
      </c>
      <c r="D635" s="29">
        <v>192017000</v>
      </c>
      <c r="E635" s="29">
        <f>B635-F635</f>
        <v>2983000</v>
      </c>
      <c r="F635" s="29">
        <v>192017000</v>
      </c>
      <c r="G635" s="30">
        <v>100</v>
      </c>
      <c r="H635" s="22"/>
      <c r="I635" s="16"/>
      <c r="J635" s="32"/>
      <c r="K635" s="32"/>
      <c r="L635" s="32"/>
      <c r="M635" s="32"/>
      <c r="N635" s="32"/>
    </row>
    <row r="636" spans="1:14" ht="24" x14ac:dyDescent="0.25">
      <c r="A636" s="28" t="s">
        <v>582</v>
      </c>
      <c r="B636" s="29">
        <f>147000000-147000000</f>
        <v>0</v>
      </c>
      <c r="C636" s="28" t="s">
        <v>104</v>
      </c>
      <c r="D636" s="29">
        <v>0</v>
      </c>
      <c r="E636" s="29">
        <f>B636-F636</f>
        <v>0</v>
      </c>
      <c r="F636" s="29">
        <v>0</v>
      </c>
      <c r="G636" s="30">
        <v>0</v>
      </c>
      <c r="H636" s="22"/>
      <c r="I636" s="16"/>
    </row>
    <row r="637" spans="1:14" ht="24" x14ac:dyDescent="0.25">
      <c r="A637" s="28" t="s">
        <v>583</v>
      </c>
      <c r="B637" s="29">
        <v>195000000</v>
      </c>
      <c r="C637" s="28" t="s">
        <v>104</v>
      </c>
      <c r="D637" s="29">
        <v>190500000</v>
      </c>
      <c r="E637" s="29">
        <f>B637-F637</f>
        <v>4500000</v>
      </c>
      <c r="F637" s="29">
        <v>190500000</v>
      </c>
      <c r="G637" s="30">
        <v>100</v>
      </c>
      <c r="H637" s="22"/>
      <c r="I637" s="16"/>
    </row>
    <row r="638" spans="1:14" s="32" customFormat="1" ht="24" x14ac:dyDescent="0.25">
      <c r="A638" s="28" t="s">
        <v>584</v>
      </c>
      <c r="B638" s="29">
        <f>195000000-195000000</f>
        <v>0</v>
      </c>
      <c r="C638" s="28" t="s">
        <v>104</v>
      </c>
      <c r="D638" s="29">
        <v>0</v>
      </c>
      <c r="E638" s="29">
        <f>B638-F638</f>
        <v>0</v>
      </c>
      <c r="F638" s="29">
        <v>0</v>
      </c>
      <c r="G638" s="30">
        <v>0</v>
      </c>
      <c r="H638" s="22"/>
      <c r="I638" s="16"/>
      <c r="J638" s="4"/>
      <c r="K638" s="4"/>
      <c r="L638" s="4"/>
      <c r="M638" s="4"/>
      <c r="N638" s="4"/>
    </row>
    <row r="639" spans="1:14" s="32" customFormat="1" ht="24" x14ac:dyDescent="0.25">
      <c r="A639" s="28" t="s">
        <v>585</v>
      </c>
      <c r="B639" s="29">
        <f>485000000-485000000</f>
        <v>0</v>
      </c>
      <c r="C639" s="28" t="s">
        <v>104</v>
      </c>
      <c r="D639" s="29">
        <v>0</v>
      </c>
      <c r="E639" s="29">
        <f>B639-F639</f>
        <v>0</v>
      </c>
      <c r="F639" s="29">
        <v>0</v>
      </c>
      <c r="G639" s="30">
        <v>0</v>
      </c>
      <c r="H639" s="22"/>
      <c r="I639" s="16"/>
      <c r="J639" s="4"/>
      <c r="K639" s="4"/>
      <c r="L639" s="4"/>
      <c r="M639" s="4"/>
      <c r="N639" s="4"/>
    </row>
    <row r="640" spans="1:14" s="32" customFormat="1" ht="24" x14ac:dyDescent="0.25">
      <c r="A640" s="28" t="s">
        <v>586</v>
      </c>
      <c r="B640" s="29">
        <v>195000000</v>
      </c>
      <c r="C640" s="28" t="s">
        <v>104</v>
      </c>
      <c r="D640" s="29">
        <v>192069000</v>
      </c>
      <c r="E640" s="29">
        <f>B640-F640</f>
        <v>2931000</v>
      </c>
      <c r="F640" s="29">
        <v>192069000</v>
      </c>
      <c r="G640" s="30">
        <v>100</v>
      </c>
      <c r="H640" s="22"/>
      <c r="I640" s="16"/>
      <c r="J640" s="4"/>
      <c r="K640" s="4"/>
      <c r="L640" s="4"/>
      <c r="M640" s="4"/>
      <c r="N640" s="4"/>
    </row>
    <row r="641" spans="1:14" ht="24" x14ac:dyDescent="0.25">
      <c r="A641" s="28" t="s">
        <v>587</v>
      </c>
      <c r="B641" s="29">
        <v>195000000</v>
      </c>
      <c r="C641" s="28" t="s">
        <v>104</v>
      </c>
      <c r="D641" s="29">
        <v>193004000</v>
      </c>
      <c r="E641" s="29">
        <f>B641-F641</f>
        <v>1996000</v>
      </c>
      <c r="F641" s="29">
        <v>193004000</v>
      </c>
      <c r="G641" s="30">
        <v>100</v>
      </c>
      <c r="H641" s="22"/>
      <c r="I641" s="16"/>
      <c r="J641" s="32"/>
      <c r="K641" s="32"/>
      <c r="L641" s="32"/>
      <c r="M641" s="32"/>
      <c r="N641" s="32"/>
    </row>
    <row r="642" spans="1:14" s="32" customFormat="1" ht="24" x14ac:dyDescent="0.25">
      <c r="A642" s="28" t="s">
        <v>588</v>
      </c>
      <c r="B642" s="29">
        <v>485000000</v>
      </c>
      <c r="C642" s="28" t="s">
        <v>104</v>
      </c>
      <c r="D642" s="29">
        <v>475329871</v>
      </c>
      <c r="E642" s="29">
        <f>B642-F642</f>
        <v>9670129</v>
      </c>
      <c r="F642" s="29">
        <v>475329871</v>
      </c>
      <c r="G642" s="30">
        <v>100</v>
      </c>
      <c r="H642" s="22"/>
      <c r="I642" s="16"/>
    </row>
    <row r="643" spans="1:14" s="32" customFormat="1" ht="24" x14ac:dyDescent="0.25">
      <c r="A643" s="28" t="s">
        <v>589</v>
      </c>
      <c r="B643" s="29">
        <v>147000000</v>
      </c>
      <c r="C643" s="28" t="s">
        <v>104</v>
      </c>
      <c r="D643" s="29">
        <v>145000000</v>
      </c>
      <c r="E643" s="29">
        <f>B643-F643</f>
        <v>2000000</v>
      </c>
      <c r="F643" s="29">
        <v>145000000</v>
      </c>
      <c r="G643" s="30">
        <v>100</v>
      </c>
      <c r="H643" s="22"/>
      <c r="I643" s="16"/>
    </row>
    <row r="644" spans="1:14" ht="24" x14ac:dyDescent="0.25">
      <c r="A644" s="28" t="s">
        <v>590</v>
      </c>
      <c r="B644" s="29">
        <f>195000000-195000000</f>
        <v>0</v>
      </c>
      <c r="C644" s="28" t="s">
        <v>104</v>
      </c>
      <c r="D644" s="29">
        <v>0</v>
      </c>
      <c r="E644" s="29">
        <f>B644-F644</f>
        <v>0</v>
      </c>
      <c r="F644" s="29">
        <v>0</v>
      </c>
      <c r="G644" s="30">
        <v>0</v>
      </c>
      <c r="H644" s="22"/>
      <c r="I644" s="16"/>
    </row>
    <row r="645" spans="1:14" s="32" customFormat="1" ht="24" x14ac:dyDescent="0.25">
      <c r="A645" s="28" t="s">
        <v>591</v>
      </c>
      <c r="B645" s="29">
        <f>167000000-47000000</f>
        <v>120000000</v>
      </c>
      <c r="C645" s="28" t="s">
        <v>104</v>
      </c>
      <c r="D645" s="29">
        <v>118160000</v>
      </c>
      <c r="E645" s="29">
        <f>B645-F645</f>
        <v>1840000</v>
      </c>
      <c r="F645" s="29">
        <v>118160000</v>
      </c>
      <c r="G645" s="30">
        <v>100</v>
      </c>
      <c r="H645" s="22"/>
      <c r="I645" s="16"/>
    </row>
    <row r="646" spans="1:14" ht="24" x14ac:dyDescent="0.25">
      <c r="A646" s="28" t="s">
        <v>592</v>
      </c>
      <c r="B646" s="29">
        <v>195000000</v>
      </c>
      <c r="C646" s="28" t="s">
        <v>104</v>
      </c>
      <c r="D646" s="29">
        <v>192273000</v>
      </c>
      <c r="E646" s="29">
        <f>B646-F646</f>
        <v>2727000</v>
      </c>
      <c r="F646" s="29">
        <v>192273000</v>
      </c>
      <c r="G646" s="30">
        <v>100</v>
      </c>
      <c r="H646" s="22"/>
      <c r="I646" s="16"/>
      <c r="J646" s="32"/>
      <c r="K646" s="32"/>
      <c r="L646" s="32"/>
      <c r="M646" s="32"/>
      <c r="N646" s="32"/>
    </row>
    <row r="647" spans="1:14" s="32" customFormat="1" ht="24" x14ac:dyDescent="0.25">
      <c r="A647" s="28" t="s">
        <v>593</v>
      </c>
      <c r="B647" s="29">
        <v>195000000</v>
      </c>
      <c r="C647" s="28" t="s">
        <v>104</v>
      </c>
      <c r="D647" s="29">
        <v>192674000</v>
      </c>
      <c r="E647" s="29">
        <f>B647-F647</f>
        <v>2326000</v>
      </c>
      <c r="F647" s="29">
        <v>192674000</v>
      </c>
      <c r="G647" s="30">
        <v>100</v>
      </c>
      <c r="H647" s="22"/>
      <c r="I647" s="16"/>
      <c r="J647" s="4"/>
      <c r="K647" s="4"/>
      <c r="L647" s="4"/>
      <c r="M647" s="4"/>
      <c r="N647" s="4"/>
    </row>
    <row r="648" spans="1:14" s="32" customFormat="1" ht="24" x14ac:dyDescent="0.25">
      <c r="A648" s="28" t="s">
        <v>594</v>
      </c>
      <c r="B648" s="29">
        <v>195000000</v>
      </c>
      <c r="C648" s="28" t="s">
        <v>104</v>
      </c>
      <c r="D648" s="29">
        <v>192926000</v>
      </c>
      <c r="E648" s="29">
        <f>B648-F648</f>
        <v>2074000</v>
      </c>
      <c r="F648" s="29">
        <v>192926000</v>
      </c>
      <c r="G648" s="30">
        <v>100</v>
      </c>
      <c r="H648" s="22"/>
      <c r="I648" s="16"/>
    </row>
    <row r="649" spans="1:14" s="32" customFormat="1" ht="24" x14ac:dyDescent="0.25">
      <c r="A649" s="28" t="s">
        <v>595</v>
      </c>
      <c r="B649" s="29">
        <f>195000000-195000000</f>
        <v>0</v>
      </c>
      <c r="C649" s="28" t="s">
        <v>104</v>
      </c>
      <c r="D649" s="29">
        <v>0</v>
      </c>
      <c r="E649" s="29">
        <f>B649-F649</f>
        <v>0</v>
      </c>
      <c r="F649" s="29">
        <v>0</v>
      </c>
      <c r="G649" s="30">
        <v>0</v>
      </c>
      <c r="H649" s="22"/>
      <c r="I649" s="16"/>
      <c r="J649" s="4"/>
      <c r="K649" s="4"/>
      <c r="L649" s="4"/>
      <c r="M649" s="4"/>
      <c r="N649" s="4"/>
    </row>
    <row r="650" spans="1:14" s="32" customFormat="1" ht="24" x14ac:dyDescent="0.25">
      <c r="A650" s="28" t="s">
        <v>596</v>
      </c>
      <c r="B650" s="29">
        <v>195000000</v>
      </c>
      <c r="C650" s="28" t="s">
        <v>104</v>
      </c>
      <c r="D650" s="29">
        <v>191856000</v>
      </c>
      <c r="E650" s="29">
        <f>B650-F650</f>
        <v>3144000</v>
      </c>
      <c r="F650" s="29">
        <v>191856000</v>
      </c>
      <c r="G650" s="30">
        <v>100</v>
      </c>
      <c r="H650" s="22"/>
      <c r="I650" s="16"/>
    </row>
    <row r="651" spans="1:14" s="32" customFormat="1" ht="24" x14ac:dyDescent="0.25">
      <c r="A651" s="28" t="s">
        <v>597</v>
      </c>
      <c r="B651" s="29">
        <v>195000000</v>
      </c>
      <c r="C651" s="28" t="s">
        <v>104</v>
      </c>
      <c r="D651" s="29">
        <v>192562000</v>
      </c>
      <c r="E651" s="29">
        <f>B651-F651</f>
        <v>2438000</v>
      </c>
      <c r="F651" s="29">
        <v>192562000</v>
      </c>
      <c r="G651" s="30">
        <v>100</v>
      </c>
      <c r="H651" s="22"/>
      <c r="I651" s="16"/>
    </row>
    <row r="652" spans="1:14" ht="24" x14ac:dyDescent="0.25">
      <c r="A652" s="28" t="s">
        <v>598</v>
      </c>
      <c r="B652" s="29">
        <v>485000000</v>
      </c>
      <c r="C652" s="28" t="s">
        <v>104</v>
      </c>
      <c r="D652" s="29">
        <v>477140008</v>
      </c>
      <c r="E652" s="29">
        <f>B652-F652</f>
        <v>7859992</v>
      </c>
      <c r="F652" s="29">
        <f>143142002+333998006</f>
        <v>477140008</v>
      </c>
      <c r="G652" s="30">
        <v>100</v>
      </c>
      <c r="H652" s="22"/>
      <c r="I652" s="16"/>
      <c r="J652" s="32"/>
      <c r="K652" s="32"/>
      <c r="L652" s="32"/>
      <c r="M652" s="32"/>
      <c r="N652" s="32"/>
    </row>
    <row r="653" spans="1:14" s="32" customFormat="1" ht="24" x14ac:dyDescent="0.25">
      <c r="A653" s="28" t="s">
        <v>599</v>
      </c>
      <c r="B653" s="29">
        <v>195000000</v>
      </c>
      <c r="C653" s="28" t="s">
        <v>104</v>
      </c>
      <c r="D653" s="29">
        <v>191949000</v>
      </c>
      <c r="E653" s="29">
        <f>B653-F653</f>
        <v>3051000</v>
      </c>
      <c r="F653" s="29">
        <v>191949000</v>
      </c>
      <c r="G653" s="30">
        <v>100</v>
      </c>
      <c r="H653" s="22"/>
      <c r="I653" s="16"/>
    </row>
    <row r="654" spans="1:14" ht="24" x14ac:dyDescent="0.25">
      <c r="A654" s="28" t="s">
        <v>600</v>
      </c>
      <c r="B654" s="29">
        <v>147000000</v>
      </c>
      <c r="C654" s="28" t="s">
        <v>104</v>
      </c>
      <c r="D654" s="29">
        <v>144508000</v>
      </c>
      <c r="E654" s="29">
        <f>B654-F654</f>
        <v>2492000</v>
      </c>
      <c r="F654" s="29">
        <v>144508000</v>
      </c>
      <c r="G654" s="30">
        <v>100</v>
      </c>
      <c r="H654" s="22"/>
      <c r="I654" s="16"/>
      <c r="J654" s="32"/>
      <c r="K654" s="32"/>
      <c r="L654" s="32"/>
      <c r="M654" s="32"/>
      <c r="N654" s="32"/>
    </row>
    <row r="655" spans="1:14" s="32" customFormat="1" ht="24" x14ac:dyDescent="0.25">
      <c r="A655" s="28" t="s">
        <v>601</v>
      </c>
      <c r="B655" s="29">
        <f>147000000-147000000</f>
        <v>0</v>
      </c>
      <c r="C655" s="28" t="s">
        <v>104</v>
      </c>
      <c r="D655" s="29">
        <v>0</v>
      </c>
      <c r="E655" s="29">
        <f>B655-F655</f>
        <v>0</v>
      </c>
      <c r="F655" s="29">
        <v>0</v>
      </c>
      <c r="G655" s="30">
        <v>0</v>
      </c>
      <c r="H655" s="22"/>
      <c r="I655" s="16"/>
      <c r="J655" s="4"/>
      <c r="K655" s="4"/>
      <c r="L655" s="4"/>
      <c r="M655" s="4"/>
      <c r="N655" s="4"/>
    </row>
    <row r="656" spans="1:14" s="32" customFormat="1" ht="24" x14ac:dyDescent="0.25">
      <c r="A656" s="28" t="s">
        <v>602</v>
      </c>
      <c r="B656" s="29">
        <v>195000000</v>
      </c>
      <c r="C656" s="28" t="s">
        <v>104</v>
      </c>
      <c r="D656" s="29">
        <v>191576000</v>
      </c>
      <c r="E656" s="29">
        <f>B656-F656</f>
        <v>3424000</v>
      </c>
      <c r="F656" s="29">
        <v>191576000</v>
      </c>
      <c r="G656" s="30">
        <v>100</v>
      </c>
      <c r="H656" s="22"/>
      <c r="I656" s="16"/>
    </row>
    <row r="657" spans="1:14" ht="24" x14ac:dyDescent="0.25">
      <c r="A657" s="28" t="s">
        <v>603</v>
      </c>
      <c r="B657" s="29">
        <f>147000000-147000000</f>
        <v>0</v>
      </c>
      <c r="C657" s="28" t="s">
        <v>104</v>
      </c>
      <c r="D657" s="29">
        <v>0</v>
      </c>
      <c r="E657" s="29">
        <f>B657-F657</f>
        <v>0</v>
      </c>
      <c r="F657" s="29">
        <v>0</v>
      </c>
      <c r="G657" s="30">
        <v>0</v>
      </c>
      <c r="H657" s="22"/>
      <c r="I657" s="16"/>
    </row>
    <row r="658" spans="1:14" ht="24" x14ac:dyDescent="0.25">
      <c r="A658" s="28" t="s">
        <v>604</v>
      </c>
      <c r="B658" s="29">
        <v>195000000</v>
      </c>
      <c r="C658" s="28" t="s">
        <v>104</v>
      </c>
      <c r="D658" s="29">
        <v>192389000</v>
      </c>
      <c r="E658" s="29">
        <f>B658-F658</f>
        <v>2611000</v>
      </c>
      <c r="F658" s="29">
        <v>192389000</v>
      </c>
      <c r="G658" s="30">
        <v>100</v>
      </c>
      <c r="H658" s="22"/>
      <c r="I658" s="16"/>
      <c r="J658" s="32"/>
      <c r="K658" s="32"/>
      <c r="L658" s="32"/>
      <c r="M658" s="32"/>
      <c r="N658" s="32"/>
    </row>
    <row r="659" spans="1:14" s="32" customFormat="1" ht="24" x14ac:dyDescent="0.25">
      <c r="A659" s="28" t="s">
        <v>605</v>
      </c>
      <c r="B659" s="29">
        <v>195000000</v>
      </c>
      <c r="C659" s="28" t="s">
        <v>104</v>
      </c>
      <c r="D659" s="29">
        <v>191432000</v>
      </c>
      <c r="E659" s="29">
        <f>B659-F659</f>
        <v>3568000</v>
      </c>
      <c r="F659" s="29">
        <v>191432000</v>
      </c>
      <c r="G659" s="30">
        <v>100</v>
      </c>
      <c r="H659" s="22"/>
      <c r="I659" s="16"/>
    </row>
    <row r="660" spans="1:14" ht="24" x14ac:dyDescent="0.25">
      <c r="A660" s="28" t="s">
        <v>606</v>
      </c>
      <c r="B660" s="29">
        <v>195000000</v>
      </c>
      <c r="C660" s="28" t="s">
        <v>104</v>
      </c>
      <c r="D660" s="29">
        <v>191619000</v>
      </c>
      <c r="E660" s="29">
        <f>B660-F660</f>
        <v>3381000</v>
      </c>
      <c r="F660" s="29">
        <v>191619000</v>
      </c>
      <c r="G660" s="30">
        <v>100</v>
      </c>
      <c r="H660" s="22"/>
      <c r="I660" s="16"/>
    </row>
    <row r="661" spans="1:14" s="32" customFormat="1" ht="24" x14ac:dyDescent="0.25">
      <c r="A661" s="28" t="s">
        <v>607</v>
      </c>
      <c r="B661" s="29">
        <f>98000000-98000000</f>
        <v>0</v>
      </c>
      <c r="C661" s="28" t="s">
        <v>104</v>
      </c>
      <c r="D661" s="29">
        <v>0</v>
      </c>
      <c r="E661" s="29">
        <f>B661-F661</f>
        <v>0</v>
      </c>
      <c r="F661" s="29">
        <v>0</v>
      </c>
      <c r="G661" s="30">
        <v>0</v>
      </c>
      <c r="H661" s="22"/>
      <c r="I661" s="16"/>
      <c r="J661" s="4"/>
      <c r="K661" s="4"/>
      <c r="L661" s="4"/>
      <c r="M661" s="4"/>
      <c r="N661" s="4"/>
    </row>
    <row r="662" spans="1:14" ht="24" x14ac:dyDescent="0.25">
      <c r="A662" s="28" t="s">
        <v>608</v>
      </c>
      <c r="B662" s="29">
        <v>195000000</v>
      </c>
      <c r="C662" s="28" t="s">
        <v>104</v>
      </c>
      <c r="D662" s="29">
        <v>192299000</v>
      </c>
      <c r="E662" s="29">
        <f>B662-F662</f>
        <v>2701000</v>
      </c>
      <c r="F662" s="29">
        <v>192299000</v>
      </c>
      <c r="G662" s="30">
        <v>100</v>
      </c>
      <c r="H662" s="22"/>
      <c r="I662" s="16"/>
      <c r="J662" s="32"/>
      <c r="K662" s="32"/>
      <c r="L662" s="32"/>
      <c r="M662" s="32"/>
      <c r="N662" s="32"/>
    </row>
    <row r="663" spans="1:14" s="32" customFormat="1" ht="24" x14ac:dyDescent="0.25">
      <c r="A663" s="28" t="s">
        <v>609</v>
      </c>
      <c r="B663" s="29">
        <v>195000000</v>
      </c>
      <c r="C663" s="28" t="s">
        <v>104</v>
      </c>
      <c r="D663" s="29">
        <v>192452000</v>
      </c>
      <c r="E663" s="29">
        <f>B663-F663</f>
        <v>2548000</v>
      </c>
      <c r="F663" s="29">
        <v>192452000</v>
      </c>
      <c r="G663" s="30">
        <v>100</v>
      </c>
      <c r="H663" s="22"/>
      <c r="I663" s="16"/>
      <c r="J663" s="4"/>
      <c r="K663" s="4"/>
      <c r="L663" s="4"/>
      <c r="M663" s="4"/>
      <c r="N663" s="4"/>
    </row>
    <row r="664" spans="1:14" s="32" customFormat="1" ht="24" x14ac:dyDescent="0.25">
      <c r="A664" s="28" t="s">
        <v>610</v>
      </c>
      <c r="B664" s="29">
        <v>195000000</v>
      </c>
      <c r="C664" s="28" t="s">
        <v>104</v>
      </c>
      <c r="D664" s="29">
        <v>192769000</v>
      </c>
      <c r="E664" s="29">
        <f>B664-F664</f>
        <v>2231000</v>
      </c>
      <c r="F664" s="29">
        <v>192769000</v>
      </c>
      <c r="G664" s="30">
        <v>100</v>
      </c>
      <c r="H664" s="22"/>
      <c r="I664" s="16"/>
    </row>
    <row r="665" spans="1:14" s="32" customFormat="1" ht="24" x14ac:dyDescent="0.25">
      <c r="A665" s="28" t="s">
        <v>611</v>
      </c>
      <c r="B665" s="29">
        <v>195000000</v>
      </c>
      <c r="C665" s="28" t="s">
        <v>104</v>
      </c>
      <c r="D665" s="29">
        <v>191460000</v>
      </c>
      <c r="E665" s="29">
        <f>B665-F665</f>
        <v>3540000</v>
      </c>
      <c r="F665" s="29">
        <v>191460000</v>
      </c>
      <c r="G665" s="30">
        <v>100</v>
      </c>
      <c r="H665" s="22"/>
      <c r="I665" s="16"/>
      <c r="J665" s="4"/>
      <c r="K665" s="4"/>
      <c r="L665" s="4"/>
      <c r="M665" s="4"/>
      <c r="N665" s="4"/>
    </row>
    <row r="666" spans="1:14" ht="24" x14ac:dyDescent="0.25">
      <c r="A666" s="28" t="s">
        <v>612</v>
      </c>
      <c r="B666" s="29">
        <v>195000000</v>
      </c>
      <c r="C666" s="28" t="s">
        <v>104</v>
      </c>
      <c r="D666" s="29">
        <v>193029000</v>
      </c>
      <c r="E666" s="29">
        <f>B666-F666</f>
        <v>1971000</v>
      </c>
      <c r="F666" s="29">
        <v>193029000</v>
      </c>
      <c r="G666" s="30">
        <v>100</v>
      </c>
      <c r="H666" s="22"/>
      <c r="I666" s="16"/>
      <c r="J666" s="32"/>
      <c r="K666" s="32"/>
      <c r="L666" s="32"/>
      <c r="M666" s="32"/>
      <c r="N666" s="32"/>
    </row>
    <row r="667" spans="1:14" ht="24" x14ac:dyDescent="0.25">
      <c r="A667" s="28" t="s">
        <v>613</v>
      </c>
      <c r="B667" s="29">
        <v>195000000</v>
      </c>
      <c r="C667" s="28" t="s">
        <v>104</v>
      </c>
      <c r="D667" s="29">
        <v>192145000</v>
      </c>
      <c r="E667" s="29">
        <f>B667-F667</f>
        <v>2855000</v>
      </c>
      <c r="F667" s="29">
        <v>192145000</v>
      </c>
      <c r="G667" s="30">
        <v>100</v>
      </c>
      <c r="H667" s="22"/>
      <c r="I667" s="16"/>
      <c r="J667" s="32"/>
      <c r="K667" s="32"/>
      <c r="L667" s="32"/>
      <c r="M667" s="32"/>
      <c r="N667" s="32"/>
    </row>
    <row r="668" spans="1:14" s="32" customFormat="1" ht="24" x14ac:dyDescent="0.25">
      <c r="A668" s="28" t="s">
        <v>614</v>
      </c>
      <c r="B668" s="29">
        <v>100000000</v>
      </c>
      <c r="C668" s="28" t="s">
        <v>104</v>
      </c>
      <c r="D668" s="29">
        <v>98830000</v>
      </c>
      <c r="E668" s="29">
        <f>B668-F668</f>
        <v>1170000</v>
      </c>
      <c r="F668" s="29">
        <v>98830000</v>
      </c>
      <c r="G668" s="30">
        <v>100</v>
      </c>
      <c r="H668" s="22"/>
      <c r="I668" s="16"/>
    </row>
    <row r="669" spans="1:14" ht="24" x14ac:dyDescent="0.25">
      <c r="A669" s="28" t="s">
        <v>615</v>
      </c>
      <c r="B669" s="29">
        <v>195000000</v>
      </c>
      <c r="C669" s="28" t="s">
        <v>104</v>
      </c>
      <c r="D669" s="29">
        <v>192253000</v>
      </c>
      <c r="E669" s="29">
        <f>B669-F669</f>
        <v>2747000</v>
      </c>
      <c r="F669" s="29">
        <v>192253000</v>
      </c>
      <c r="G669" s="30">
        <v>100</v>
      </c>
      <c r="H669" s="22"/>
      <c r="I669" s="16"/>
    </row>
    <row r="670" spans="1:14" ht="24" x14ac:dyDescent="0.25">
      <c r="A670" s="28" t="s">
        <v>616</v>
      </c>
      <c r="B670" s="29">
        <v>100000000</v>
      </c>
      <c r="C670" s="28" t="s">
        <v>104</v>
      </c>
      <c r="D670" s="29">
        <v>98988000</v>
      </c>
      <c r="E670" s="29">
        <f>B670-F670</f>
        <v>1012000</v>
      </c>
      <c r="F670" s="29">
        <v>98988000</v>
      </c>
      <c r="G670" s="30">
        <v>100</v>
      </c>
      <c r="H670" s="22"/>
      <c r="I670" s="16"/>
    </row>
    <row r="671" spans="1:14" ht="24" x14ac:dyDescent="0.25">
      <c r="A671" s="28" t="s">
        <v>617</v>
      </c>
      <c r="B671" s="29">
        <v>195000000</v>
      </c>
      <c r="C671" s="28" t="s">
        <v>104</v>
      </c>
      <c r="D671" s="29">
        <v>192628000</v>
      </c>
      <c r="E671" s="29">
        <f>B671-F671</f>
        <v>2372000</v>
      </c>
      <c r="F671" s="29">
        <v>192628000</v>
      </c>
      <c r="G671" s="30">
        <v>100</v>
      </c>
      <c r="H671" s="22"/>
      <c r="I671" s="16"/>
      <c r="J671" s="32"/>
      <c r="K671" s="32"/>
      <c r="L671" s="32"/>
      <c r="M671" s="32"/>
      <c r="N671" s="32"/>
    </row>
    <row r="672" spans="1:14" s="32" customFormat="1" ht="24" x14ac:dyDescent="0.25">
      <c r="A672" s="28" t="s">
        <v>618</v>
      </c>
      <c r="B672" s="29">
        <v>195000000</v>
      </c>
      <c r="C672" s="28" t="s">
        <v>104</v>
      </c>
      <c r="D672" s="29">
        <v>192439000</v>
      </c>
      <c r="E672" s="29">
        <f>B672-F672</f>
        <v>2561000</v>
      </c>
      <c r="F672" s="29">
        <v>192439000</v>
      </c>
      <c r="G672" s="30">
        <v>100</v>
      </c>
      <c r="H672" s="22"/>
      <c r="I672" s="16"/>
      <c r="J672" s="4"/>
      <c r="K672" s="4"/>
      <c r="L672" s="4"/>
      <c r="M672" s="4"/>
      <c r="N672" s="4"/>
    </row>
    <row r="673" spans="1:14" s="32" customFormat="1" ht="24" x14ac:dyDescent="0.25">
      <c r="A673" s="28" t="s">
        <v>619</v>
      </c>
      <c r="B673" s="29">
        <v>147000000</v>
      </c>
      <c r="C673" s="28" t="s">
        <v>104</v>
      </c>
      <c r="D673" s="29">
        <v>144788000</v>
      </c>
      <c r="E673" s="29">
        <f>B673-F673</f>
        <v>2212000</v>
      </c>
      <c r="F673" s="29">
        <v>144788000</v>
      </c>
      <c r="G673" s="30">
        <v>100</v>
      </c>
      <c r="H673" s="22"/>
      <c r="I673" s="16"/>
      <c r="J673" s="4"/>
      <c r="K673" s="4"/>
      <c r="L673" s="4"/>
      <c r="M673" s="4"/>
      <c r="N673" s="4"/>
    </row>
    <row r="674" spans="1:14" ht="24" x14ac:dyDescent="0.25">
      <c r="A674" s="28" t="s">
        <v>620</v>
      </c>
      <c r="B674" s="29">
        <v>98000000</v>
      </c>
      <c r="C674" s="28" t="s">
        <v>104</v>
      </c>
      <c r="D674" s="29">
        <v>96619000</v>
      </c>
      <c r="E674" s="29">
        <f>B674-F674</f>
        <v>1381000</v>
      </c>
      <c r="F674" s="29">
        <v>96619000</v>
      </c>
      <c r="G674" s="30">
        <v>100</v>
      </c>
      <c r="H674" s="22"/>
      <c r="I674" s="16"/>
    </row>
    <row r="675" spans="1:14" ht="24" x14ac:dyDescent="0.25">
      <c r="A675" s="28" t="s">
        <v>621</v>
      </c>
      <c r="B675" s="29">
        <v>195000000</v>
      </c>
      <c r="C675" s="28" t="s">
        <v>104</v>
      </c>
      <c r="D675" s="29">
        <v>191945000</v>
      </c>
      <c r="E675" s="29">
        <f>B675-F675</f>
        <v>3055000</v>
      </c>
      <c r="F675" s="29">
        <v>191945000</v>
      </c>
      <c r="G675" s="30">
        <v>100</v>
      </c>
      <c r="H675" s="22"/>
      <c r="I675" s="16"/>
      <c r="J675" s="32"/>
      <c r="K675" s="32"/>
      <c r="L675" s="32"/>
      <c r="M675" s="32"/>
      <c r="N675" s="32"/>
    </row>
    <row r="676" spans="1:14" s="32" customFormat="1" ht="24" x14ac:dyDescent="0.25">
      <c r="A676" s="28" t="s">
        <v>622</v>
      </c>
      <c r="B676" s="29">
        <v>195000000</v>
      </c>
      <c r="C676" s="28" t="s">
        <v>104</v>
      </c>
      <c r="D676" s="29">
        <v>191350000</v>
      </c>
      <c r="E676" s="29">
        <f>B676-F676</f>
        <v>3650000</v>
      </c>
      <c r="F676" s="29">
        <v>191350000</v>
      </c>
      <c r="G676" s="30">
        <v>100</v>
      </c>
      <c r="H676" s="22"/>
      <c r="I676" s="16"/>
    </row>
    <row r="677" spans="1:14" ht="24" x14ac:dyDescent="0.25">
      <c r="A677" s="28" t="s">
        <v>623</v>
      </c>
      <c r="B677" s="29">
        <v>195000000</v>
      </c>
      <c r="C677" s="28" t="s">
        <v>104</v>
      </c>
      <c r="D677" s="29">
        <v>192303000</v>
      </c>
      <c r="E677" s="29">
        <f>B677-F677</f>
        <v>2697000</v>
      </c>
      <c r="F677" s="29">
        <v>192303000</v>
      </c>
      <c r="G677" s="30">
        <v>100</v>
      </c>
      <c r="H677" s="22"/>
      <c r="I677" s="16"/>
    </row>
    <row r="678" spans="1:14" s="32" customFormat="1" ht="24" x14ac:dyDescent="0.25">
      <c r="A678" s="28" t="s">
        <v>624</v>
      </c>
      <c r="B678" s="29">
        <v>195000000</v>
      </c>
      <c r="C678" s="28" t="s">
        <v>104</v>
      </c>
      <c r="D678" s="29">
        <v>192194000</v>
      </c>
      <c r="E678" s="29">
        <f>B678-F678</f>
        <v>2806000</v>
      </c>
      <c r="F678" s="29">
        <v>192194000</v>
      </c>
      <c r="G678" s="30">
        <v>100</v>
      </c>
      <c r="H678" s="22"/>
      <c r="I678" s="16"/>
      <c r="J678" s="4"/>
      <c r="K678" s="4"/>
      <c r="L678" s="4"/>
      <c r="M678" s="4"/>
      <c r="N678" s="4"/>
    </row>
    <row r="679" spans="1:14" s="32" customFormat="1" ht="24" x14ac:dyDescent="0.25">
      <c r="A679" s="28" t="s">
        <v>625</v>
      </c>
      <c r="B679" s="29">
        <v>195000000</v>
      </c>
      <c r="C679" s="28" t="s">
        <v>104</v>
      </c>
      <c r="D679" s="29">
        <v>192918000</v>
      </c>
      <c r="E679" s="29">
        <f>B679-F679</f>
        <v>2082000</v>
      </c>
      <c r="F679" s="29">
        <v>192918000</v>
      </c>
      <c r="G679" s="30">
        <v>100</v>
      </c>
      <c r="H679" s="22"/>
      <c r="I679" s="16"/>
    </row>
    <row r="680" spans="1:14" ht="24" x14ac:dyDescent="0.25">
      <c r="A680" s="28" t="s">
        <v>626</v>
      </c>
      <c r="B680" s="29">
        <f>195000000-195000000</f>
        <v>0</v>
      </c>
      <c r="C680" s="28" t="s">
        <v>104</v>
      </c>
      <c r="D680" s="29">
        <v>0</v>
      </c>
      <c r="E680" s="29">
        <f>B680-F680</f>
        <v>0</v>
      </c>
      <c r="F680" s="29">
        <v>0</v>
      </c>
      <c r="G680" s="30">
        <v>0</v>
      </c>
      <c r="H680" s="22"/>
      <c r="I680" s="16"/>
    </row>
    <row r="681" spans="1:14" s="32" customFormat="1" ht="24" x14ac:dyDescent="0.25">
      <c r="A681" s="28" t="s">
        <v>627</v>
      </c>
      <c r="B681" s="29">
        <v>485000000</v>
      </c>
      <c r="C681" s="28" t="s">
        <v>104</v>
      </c>
      <c r="D681" s="29">
        <v>476870000</v>
      </c>
      <c r="E681" s="29">
        <f>B681-F681</f>
        <v>8130000</v>
      </c>
      <c r="F681" s="29">
        <v>476870000</v>
      </c>
      <c r="G681" s="30">
        <v>100</v>
      </c>
      <c r="H681" s="22"/>
      <c r="I681" s="16"/>
    </row>
    <row r="682" spans="1:14" ht="24" x14ac:dyDescent="0.25">
      <c r="A682" s="28" t="s">
        <v>628</v>
      </c>
      <c r="B682" s="29">
        <v>195000000</v>
      </c>
      <c r="C682" s="28" t="s">
        <v>104</v>
      </c>
      <c r="D682" s="29">
        <v>192501000</v>
      </c>
      <c r="E682" s="29">
        <f>B682-F682</f>
        <v>2499000</v>
      </c>
      <c r="F682" s="29">
        <v>192501000</v>
      </c>
      <c r="G682" s="30">
        <v>100</v>
      </c>
      <c r="H682" s="22"/>
      <c r="I682" s="16"/>
      <c r="J682" s="32"/>
      <c r="K682" s="32"/>
      <c r="L682" s="32"/>
      <c r="M682" s="32"/>
      <c r="N682" s="32"/>
    </row>
    <row r="683" spans="1:14" s="32" customFormat="1" ht="24" x14ac:dyDescent="0.25">
      <c r="A683" s="28" t="s">
        <v>629</v>
      </c>
      <c r="B683" s="29">
        <v>225000000</v>
      </c>
      <c r="C683" s="28" t="s">
        <v>104</v>
      </c>
      <c r="D683" s="29">
        <v>222700000</v>
      </c>
      <c r="E683" s="29">
        <f>B683-F683</f>
        <v>2300000</v>
      </c>
      <c r="F683" s="29">
        <v>222700000</v>
      </c>
      <c r="G683" s="30">
        <v>100</v>
      </c>
      <c r="H683" s="22"/>
      <c r="I683" s="16"/>
      <c r="J683" s="4"/>
      <c r="K683" s="4"/>
      <c r="L683" s="4"/>
      <c r="M683" s="4"/>
      <c r="N683" s="4"/>
    </row>
    <row r="684" spans="1:14" s="32" customFormat="1" ht="24" x14ac:dyDescent="0.25">
      <c r="A684" s="28" t="s">
        <v>630</v>
      </c>
      <c r="B684" s="29">
        <v>195000000</v>
      </c>
      <c r="C684" s="28" t="s">
        <v>104</v>
      </c>
      <c r="D684" s="29">
        <v>192716000</v>
      </c>
      <c r="E684" s="29">
        <f>B684-F684</f>
        <v>2284000</v>
      </c>
      <c r="F684" s="29">
        <v>192716000</v>
      </c>
      <c r="G684" s="30">
        <v>100</v>
      </c>
      <c r="H684" s="22"/>
      <c r="I684" s="16"/>
    </row>
    <row r="685" spans="1:14" ht="24" x14ac:dyDescent="0.25">
      <c r="A685" s="28" t="s">
        <v>631</v>
      </c>
      <c r="B685" s="29">
        <v>98000000</v>
      </c>
      <c r="C685" s="28" t="s">
        <v>104</v>
      </c>
      <c r="D685" s="29">
        <v>96179000</v>
      </c>
      <c r="E685" s="29">
        <f>B685-F685</f>
        <v>1821000</v>
      </c>
      <c r="F685" s="29">
        <v>96179000</v>
      </c>
      <c r="G685" s="30">
        <v>100</v>
      </c>
      <c r="H685" s="22"/>
      <c r="I685" s="16"/>
    </row>
    <row r="686" spans="1:14" s="32" customFormat="1" ht="24" x14ac:dyDescent="0.25">
      <c r="A686" s="28" t="s">
        <v>632</v>
      </c>
      <c r="B686" s="29">
        <v>195000000</v>
      </c>
      <c r="C686" s="28" t="s">
        <v>104</v>
      </c>
      <c r="D686" s="29">
        <v>192639000</v>
      </c>
      <c r="E686" s="29">
        <f>B686-F686</f>
        <v>2361000</v>
      </c>
      <c r="F686" s="29">
        <v>192639000</v>
      </c>
      <c r="G686" s="30">
        <v>100</v>
      </c>
      <c r="H686" s="22"/>
      <c r="I686" s="16"/>
    </row>
    <row r="687" spans="1:14" ht="24" x14ac:dyDescent="0.25">
      <c r="A687" s="28" t="s">
        <v>633</v>
      </c>
      <c r="B687" s="29">
        <v>98000000</v>
      </c>
      <c r="C687" s="28" t="s">
        <v>104</v>
      </c>
      <c r="D687" s="29">
        <v>96116000</v>
      </c>
      <c r="E687" s="29">
        <f>B687-F687</f>
        <v>1884000</v>
      </c>
      <c r="F687" s="29">
        <v>96116000</v>
      </c>
      <c r="G687" s="30">
        <v>100</v>
      </c>
      <c r="H687" s="22"/>
      <c r="I687" s="16"/>
      <c r="J687" s="32"/>
      <c r="K687" s="32"/>
      <c r="L687" s="32"/>
      <c r="M687" s="32"/>
      <c r="N687" s="32"/>
    </row>
    <row r="688" spans="1:14" ht="24" x14ac:dyDescent="0.25">
      <c r="A688" s="28" t="s">
        <v>634</v>
      </c>
      <c r="B688" s="29">
        <v>98000000</v>
      </c>
      <c r="C688" s="28" t="s">
        <v>104</v>
      </c>
      <c r="D688" s="29">
        <v>96084000</v>
      </c>
      <c r="E688" s="29">
        <f>B688-F688</f>
        <v>1916000</v>
      </c>
      <c r="F688" s="29">
        <v>96084000</v>
      </c>
      <c r="G688" s="30">
        <v>100</v>
      </c>
      <c r="H688" s="22"/>
      <c r="I688" s="16"/>
    </row>
    <row r="689" spans="1:37" ht="24.75" thickBot="1" x14ac:dyDescent="0.3">
      <c r="A689" s="28" t="s">
        <v>635</v>
      </c>
      <c r="B689" s="29">
        <v>195000000</v>
      </c>
      <c r="C689" s="28" t="s">
        <v>104</v>
      </c>
      <c r="D689" s="29">
        <v>192568000</v>
      </c>
      <c r="E689" s="29">
        <f>B689-F689</f>
        <v>2432000</v>
      </c>
      <c r="F689" s="29">
        <v>192568000</v>
      </c>
      <c r="G689" s="30">
        <v>100</v>
      </c>
      <c r="H689" s="22"/>
      <c r="I689" s="16"/>
      <c r="J689" s="32"/>
      <c r="K689" s="32"/>
      <c r="L689" s="32"/>
      <c r="M689" s="32"/>
      <c r="N689" s="32"/>
    </row>
    <row r="690" spans="1:37" s="36" customFormat="1" ht="24.75" thickBot="1" x14ac:dyDescent="0.3">
      <c r="A690" s="28" t="s">
        <v>636</v>
      </c>
      <c r="B690" s="29">
        <v>195000000</v>
      </c>
      <c r="C690" s="28" t="s">
        <v>104</v>
      </c>
      <c r="D690" s="29">
        <v>192267000</v>
      </c>
      <c r="E690" s="29">
        <f>B690-F690</f>
        <v>2733000</v>
      </c>
      <c r="F690" s="29">
        <v>192267000</v>
      </c>
      <c r="G690" s="30">
        <v>100</v>
      </c>
      <c r="H690" s="22"/>
      <c r="I690" s="16"/>
      <c r="J690" s="4"/>
      <c r="K690" s="4"/>
      <c r="L690" s="4"/>
      <c r="M690" s="4"/>
      <c r="N690" s="4"/>
      <c r="O690" s="4"/>
      <c r="P690" s="4"/>
      <c r="Q690" s="4"/>
      <c r="R690" s="4"/>
      <c r="S690" s="4"/>
      <c r="T690" s="4"/>
      <c r="U690" s="4"/>
      <c r="V690" s="4"/>
      <c r="W690" s="4"/>
      <c r="X690" s="4"/>
      <c r="Y690" s="4"/>
      <c r="Z690" s="4"/>
      <c r="AA690" s="4"/>
      <c r="AB690" s="4"/>
      <c r="AC690" s="4"/>
      <c r="AD690" s="4"/>
      <c r="AE690" s="4"/>
      <c r="AF690" s="4"/>
      <c r="AG690" s="4"/>
      <c r="AH690" s="4"/>
      <c r="AI690" s="4"/>
      <c r="AJ690" s="4"/>
      <c r="AK690" s="4"/>
    </row>
    <row r="691" spans="1:37" s="36" customFormat="1" ht="24.75" thickBot="1" x14ac:dyDescent="0.3">
      <c r="A691" s="28" t="s">
        <v>637</v>
      </c>
      <c r="B691" s="29">
        <v>147000000</v>
      </c>
      <c r="C691" s="28" t="s">
        <v>104</v>
      </c>
      <c r="D691" s="29">
        <v>145590000</v>
      </c>
      <c r="E691" s="29">
        <f>B691-F691</f>
        <v>1410000</v>
      </c>
      <c r="F691" s="29">
        <v>145590000</v>
      </c>
      <c r="G691" s="30">
        <v>100</v>
      </c>
      <c r="H691" s="22"/>
      <c r="I691" s="16"/>
      <c r="J691" s="4"/>
      <c r="K691" s="4"/>
      <c r="L691" s="4"/>
      <c r="M691" s="4"/>
      <c r="N691" s="4"/>
      <c r="O691" s="4"/>
      <c r="P691" s="4"/>
      <c r="Q691" s="4"/>
      <c r="R691" s="4"/>
      <c r="S691" s="4"/>
      <c r="T691" s="4"/>
      <c r="U691" s="4"/>
      <c r="V691" s="4"/>
      <c r="W691" s="4"/>
      <c r="X691" s="4"/>
      <c r="Y691" s="4"/>
      <c r="Z691" s="4"/>
      <c r="AA691" s="4"/>
      <c r="AB691" s="4"/>
      <c r="AC691" s="4"/>
      <c r="AD691" s="4"/>
      <c r="AE691" s="4"/>
      <c r="AF691" s="4"/>
      <c r="AG691" s="4"/>
      <c r="AH691" s="4"/>
      <c r="AI691" s="4"/>
      <c r="AJ691" s="4"/>
      <c r="AK691" s="4"/>
    </row>
    <row r="692" spans="1:37" s="36" customFormat="1" ht="24.75" thickBot="1" x14ac:dyDescent="0.3">
      <c r="A692" s="28" t="s">
        <v>638</v>
      </c>
      <c r="B692" s="29">
        <f>4000000000-4000000000</f>
        <v>0</v>
      </c>
      <c r="C692" s="28" t="s">
        <v>104</v>
      </c>
      <c r="D692" s="29">
        <v>0</v>
      </c>
      <c r="E692" s="29">
        <f>B692-F692</f>
        <v>0</v>
      </c>
      <c r="F692" s="29">
        <v>0</v>
      </c>
      <c r="G692" s="30">
        <v>0</v>
      </c>
      <c r="H692" s="22"/>
      <c r="I692" s="16"/>
      <c r="J692" s="4"/>
      <c r="K692" s="4"/>
      <c r="L692" s="4"/>
      <c r="M692" s="4"/>
      <c r="N692" s="4"/>
      <c r="O692" s="4"/>
      <c r="P692" s="4"/>
      <c r="Q692" s="4"/>
      <c r="R692" s="4"/>
      <c r="S692" s="4"/>
      <c r="T692" s="4"/>
      <c r="U692" s="4"/>
      <c r="V692" s="4"/>
      <c r="W692" s="4"/>
      <c r="X692" s="4"/>
      <c r="Y692" s="4"/>
      <c r="Z692" s="4"/>
      <c r="AA692" s="4"/>
      <c r="AB692" s="4"/>
      <c r="AC692" s="4"/>
      <c r="AD692" s="4"/>
      <c r="AE692" s="4"/>
      <c r="AF692" s="4"/>
      <c r="AG692" s="4"/>
      <c r="AH692" s="4"/>
      <c r="AI692" s="4"/>
      <c r="AJ692" s="4"/>
      <c r="AK692" s="4"/>
    </row>
    <row r="693" spans="1:37" s="36" customFormat="1" ht="24.75" thickBot="1" x14ac:dyDescent="0.3">
      <c r="A693" s="28" t="s">
        <v>639</v>
      </c>
      <c r="B693" s="29">
        <f>2000000000-2000000000</f>
        <v>0</v>
      </c>
      <c r="C693" s="28" t="s">
        <v>104</v>
      </c>
      <c r="D693" s="29">
        <v>0</v>
      </c>
      <c r="E693" s="29">
        <f>B693-F693</f>
        <v>0</v>
      </c>
      <c r="F693" s="29">
        <v>0</v>
      </c>
      <c r="G693" s="30">
        <v>0</v>
      </c>
      <c r="H693" s="22"/>
      <c r="I693" s="16"/>
      <c r="J693" s="4"/>
      <c r="K693" s="4"/>
      <c r="L693" s="4"/>
      <c r="M693" s="4"/>
      <c r="N693" s="4"/>
      <c r="O693" s="4"/>
      <c r="P693" s="4"/>
      <c r="Q693" s="4"/>
      <c r="R693" s="4"/>
      <c r="S693" s="4"/>
      <c r="T693" s="4"/>
      <c r="U693" s="4"/>
      <c r="V693" s="4"/>
      <c r="W693" s="4"/>
      <c r="X693" s="4"/>
      <c r="Y693" s="4"/>
      <c r="Z693" s="4"/>
      <c r="AA693" s="4"/>
      <c r="AB693" s="4"/>
      <c r="AC693" s="4"/>
      <c r="AD693" s="4"/>
      <c r="AE693" s="4"/>
      <c r="AF693" s="4"/>
      <c r="AG693" s="4"/>
      <c r="AH693" s="4"/>
      <c r="AI693" s="4"/>
      <c r="AJ693" s="4"/>
      <c r="AK693" s="4"/>
    </row>
    <row r="694" spans="1:37" s="36" customFormat="1" ht="24.75" thickBot="1" x14ac:dyDescent="0.3">
      <c r="A694" s="28" t="s">
        <v>640</v>
      </c>
      <c r="B694" s="29">
        <f>2000000000-2000000000</f>
        <v>0</v>
      </c>
      <c r="C694" s="28" t="s">
        <v>104</v>
      </c>
      <c r="D694" s="29">
        <v>0</v>
      </c>
      <c r="E694" s="29">
        <f>B694-F694</f>
        <v>0</v>
      </c>
      <c r="F694" s="29">
        <v>0</v>
      </c>
      <c r="G694" s="30">
        <v>0</v>
      </c>
      <c r="H694" s="22"/>
      <c r="I694" s="16"/>
      <c r="J694" s="4"/>
      <c r="K694" s="4"/>
      <c r="L694" s="4"/>
      <c r="M694" s="4"/>
      <c r="N694" s="4"/>
      <c r="O694" s="4"/>
      <c r="P694" s="4"/>
      <c r="Q694" s="4"/>
      <c r="R694" s="4"/>
      <c r="S694" s="4"/>
      <c r="T694" s="4"/>
      <c r="U694" s="4"/>
      <c r="V694" s="4"/>
      <c r="W694" s="4"/>
      <c r="X694" s="4"/>
      <c r="Y694" s="4"/>
      <c r="Z694" s="4"/>
      <c r="AA694" s="4"/>
      <c r="AB694" s="4"/>
      <c r="AC694" s="4"/>
      <c r="AD694" s="4"/>
      <c r="AE694" s="4"/>
      <c r="AF694" s="4"/>
      <c r="AG694" s="4"/>
      <c r="AH694" s="4"/>
      <c r="AI694" s="4"/>
      <c r="AJ694" s="4"/>
      <c r="AK694" s="4"/>
    </row>
    <row r="695" spans="1:37" s="37" customFormat="1" ht="24.75" thickBot="1" x14ac:dyDescent="0.3">
      <c r="A695" s="28" t="s">
        <v>641</v>
      </c>
      <c r="B695" s="29">
        <v>147000000</v>
      </c>
      <c r="C695" s="28" t="s">
        <v>104</v>
      </c>
      <c r="D695" s="29">
        <v>144070000</v>
      </c>
      <c r="E695" s="29">
        <f>B695-F695</f>
        <v>2930000</v>
      </c>
      <c r="F695" s="29">
        <v>144070000</v>
      </c>
      <c r="G695" s="30">
        <v>100</v>
      </c>
      <c r="H695" s="22"/>
      <c r="I695" s="16"/>
      <c r="J695" s="4"/>
      <c r="K695" s="4"/>
      <c r="L695" s="4"/>
      <c r="M695" s="4"/>
      <c r="N695" s="4"/>
      <c r="O695" s="32"/>
      <c r="P695" s="32"/>
      <c r="Q695" s="32"/>
      <c r="R695" s="32"/>
      <c r="S695" s="32"/>
      <c r="T695" s="32"/>
      <c r="U695" s="32"/>
      <c r="V695" s="32"/>
      <c r="W695" s="32"/>
      <c r="X695" s="32"/>
      <c r="Y695" s="32"/>
      <c r="Z695" s="32"/>
      <c r="AA695" s="32"/>
      <c r="AB695" s="32"/>
      <c r="AC695" s="32"/>
      <c r="AD695" s="32"/>
      <c r="AE695" s="32"/>
      <c r="AF695" s="32"/>
      <c r="AG695" s="32"/>
      <c r="AH695" s="32"/>
      <c r="AI695" s="32"/>
      <c r="AJ695" s="32"/>
      <c r="AK695" s="32"/>
    </row>
    <row r="696" spans="1:37" s="37" customFormat="1" ht="24.75" thickBot="1" x14ac:dyDescent="0.3">
      <c r="A696" s="28" t="s">
        <v>642</v>
      </c>
      <c r="B696" s="29">
        <f>195000000-195000000</f>
        <v>0</v>
      </c>
      <c r="C696" s="28" t="s">
        <v>104</v>
      </c>
      <c r="D696" s="29">
        <v>0</v>
      </c>
      <c r="E696" s="29">
        <f>B696-F696</f>
        <v>0</v>
      </c>
      <c r="F696" s="29">
        <v>0</v>
      </c>
      <c r="G696" s="30">
        <v>0</v>
      </c>
      <c r="H696" s="22"/>
      <c r="I696" s="16"/>
      <c r="J696" s="4"/>
      <c r="K696" s="4"/>
      <c r="L696" s="4"/>
      <c r="M696" s="4"/>
      <c r="N696" s="4"/>
      <c r="O696" s="32"/>
      <c r="P696" s="32"/>
      <c r="Q696" s="32"/>
      <c r="R696" s="32"/>
      <c r="S696" s="32"/>
      <c r="T696" s="32"/>
      <c r="U696" s="32"/>
      <c r="V696" s="32"/>
      <c r="W696" s="32"/>
      <c r="X696" s="32"/>
      <c r="Y696" s="32"/>
      <c r="Z696" s="32"/>
      <c r="AA696" s="32"/>
      <c r="AB696" s="32"/>
      <c r="AC696" s="32"/>
      <c r="AD696" s="32"/>
      <c r="AE696" s="32"/>
      <c r="AF696" s="32"/>
      <c r="AG696" s="32"/>
      <c r="AH696" s="32"/>
      <c r="AI696" s="32"/>
      <c r="AJ696" s="32"/>
      <c r="AK696" s="32"/>
    </row>
    <row r="697" spans="1:37" s="36" customFormat="1" ht="24.75" thickBot="1" x14ac:dyDescent="0.3">
      <c r="A697" s="28" t="s">
        <v>643</v>
      </c>
      <c r="B697" s="29">
        <f>195000000-195000000</f>
        <v>0</v>
      </c>
      <c r="C697" s="28" t="s">
        <v>104</v>
      </c>
      <c r="D697" s="29">
        <v>0</v>
      </c>
      <c r="E697" s="29">
        <f>B697-F697</f>
        <v>0</v>
      </c>
      <c r="F697" s="29">
        <v>0</v>
      </c>
      <c r="G697" s="30">
        <v>0</v>
      </c>
      <c r="H697" s="22"/>
      <c r="I697" s="16"/>
      <c r="J697" s="4"/>
      <c r="K697" s="4"/>
      <c r="L697" s="4"/>
      <c r="M697" s="4"/>
      <c r="N697" s="4"/>
      <c r="O697" s="4"/>
      <c r="P697" s="4"/>
      <c r="Q697" s="4"/>
      <c r="R697" s="4"/>
      <c r="S697" s="4"/>
      <c r="T697" s="4"/>
      <c r="U697" s="4"/>
      <c r="V697" s="4"/>
      <c r="W697" s="4"/>
      <c r="X697" s="4"/>
      <c r="Y697" s="4"/>
      <c r="Z697" s="4"/>
      <c r="AA697" s="4"/>
      <c r="AB697" s="4"/>
      <c r="AC697" s="4"/>
      <c r="AD697" s="4"/>
      <c r="AE697" s="4"/>
      <c r="AF697" s="4"/>
      <c r="AG697" s="4"/>
      <c r="AH697" s="4"/>
      <c r="AI697" s="4"/>
      <c r="AJ697" s="4"/>
      <c r="AK697" s="4"/>
    </row>
    <row r="698" spans="1:37" s="36" customFormat="1" ht="24.75" thickBot="1" x14ac:dyDescent="0.3">
      <c r="A698" s="28" t="s">
        <v>644</v>
      </c>
      <c r="B698" s="29">
        <v>195000000</v>
      </c>
      <c r="C698" s="28" t="s">
        <v>104</v>
      </c>
      <c r="D698" s="29">
        <v>192701000</v>
      </c>
      <c r="E698" s="29">
        <f>B698-F698</f>
        <v>2299000</v>
      </c>
      <c r="F698" s="29">
        <v>192701000</v>
      </c>
      <c r="G698" s="30">
        <v>100</v>
      </c>
      <c r="H698" s="22"/>
      <c r="I698" s="16"/>
      <c r="J698" s="32"/>
      <c r="K698" s="32"/>
      <c r="L698" s="32"/>
      <c r="M698" s="32"/>
      <c r="N698" s="32"/>
      <c r="O698" s="4"/>
      <c r="P698" s="4"/>
      <c r="Q698" s="4"/>
      <c r="R698" s="4"/>
      <c r="S698" s="4"/>
      <c r="T698" s="4"/>
      <c r="U698" s="4"/>
      <c r="V698" s="4"/>
      <c r="W698" s="4"/>
      <c r="X698" s="4"/>
      <c r="Y698" s="4"/>
      <c r="Z698" s="4"/>
      <c r="AA698" s="4"/>
      <c r="AB698" s="4"/>
      <c r="AC698" s="4"/>
      <c r="AD698" s="4"/>
      <c r="AE698" s="4"/>
      <c r="AF698" s="4"/>
      <c r="AG698" s="4"/>
      <c r="AH698" s="4"/>
      <c r="AI698" s="4"/>
      <c r="AJ698" s="4"/>
      <c r="AK698" s="4"/>
    </row>
    <row r="699" spans="1:37" s="37" customFormat="1" ht="24.75" thickBot="1" x14ac:dyDescent="0.3">
      <c r="A699" s="28" t="s">
        <v>645</v>
      </c>
      <c r="B699" s="29">
        <v>195000000</v>
      </c>
      <c r="C699" s="28" t="s">
        <v>104</v>
      </c>
      <c r="D699" s="29">
        <v>193395000</v>
      </c>
      <c r="E699" s="29">
        <f>B699-F699</f>
        <v>1605000</v>
      </c>
      <c r="F699" s="29">
        <v>193395000</v>
      </c>
      <c r="G699" s="30">
        <v>100</v>
      </c>
      <c r="H699" s="22"/>
      <c r="I699" s="16"/>
      <c r="J699" s="32"/>
      <c r="K699" s="32"/>
      <c r="L699" s="32"/>
      <c r="M699" s="32"/>
      <c r="N699" s="32"/>
      <c r="O699" s="32"/>
      <c r="P699" s="32"/>
      <c r="Q699" s="32"/>
      <c r="R699" s="32"/>
      <c r="S699" s="32"/>
      <c r="T699" s="32"/>
      <c r="U699" s="32"/>
      <c r="V699" s="32"/>
      <c r="W699" s="32"/>
      <c r="X699" s="32"/>
      <c r="Y699" s="32"/>
      <c r="Z699" s="32"/>
      <c r="AA699" s="32"/>
      <c r="AB699" s="32"/>
      <c r="AC699" s="32"/>
      <c r="AD699" s="32"/>
      <c r="AE699" s="32"/>
      <c r="AF699" s="32"/>
      <c r="AG699" s="32"/>
      <c r="AH699" s="32"/>
      <c r="AI699" s="32"/>
      <c r="AJ699" s="32"/>
      <c r="AK699" s="32"/>
    </row>
    <row r="700" spans="1:37" s="32" customFormat="1" ht="24" x14ac:dyDescent="0.25">
      <c r="A700" s="28" t="s">
        <v>646</v>
      </c>
      <c r="B700" s="29">
        <f>147000000-147000000</f>
        <v>0</v>
      </c>
      <c r="C700" s="28" t="s">
        <v>104</v>
      </c>
      <c r="D700" s="29">
        <v>0</v>
      </c>
      <c r="E700" s="29">
        <f>B700-F700</f>
        <v>0</v>
      </c>
      <c r="F700" s="29">
        <v>0</v>
      </c>
      <c r="G700" s="30">
        <v>0</v>
      </c>
      <c r="H700" s="22"/>
      <c r="I700" s="16"/>
      <c r="J700" s="4"/>
      <c r="K700" s="4"/>
      <c r="L700" s="4"/>
      <c r="M700" s="4"/>
      <c r="N700" s="4"/>
    </row>
    <row r="701" spans="1:37" s="32" customFormat="1" ht="24" x14ac:dyDescent="0.25">
      <c r="A701" s="28" t="s">
        <v>647</v>
      </c>
      <c r="B701" s="29">
        <v>760000000</v>
      </c>
      <c r="C701" s="28" t="s">
        <v>104</v>
      </c>
      <c r="D701" s="29">
        <v>754786188</v>
      </c>
      <c r="E701" s="29">
        <f>B701-F701</f>
        <v>5213812</v>
      </c>
      <c r="F701" s="29">
        <v>754786188</v>
      </c>
      <c r="G701" s="30">
        <v>100</v>
      </c>
      <c r="H701" s="22"/>
      <c r="I701" s="16"/>
      <c r="J701" s="4"/>
      <c r="K701" s="4"/>
      <c r="L701" s="4"/>
      <c r="M701" s="4"/>
      <c r="N701" s="4"/>
    </row>
    <row r="702" spans="1:37" ht="24" x14ac:dyDescent="0.25">
      <c r="A702" s="28" t="s">
        <v>648</v>
      </c>
      <c r="B702" s="29">
        <v>490000000</v>
      </c>
      <c r="C702" s="28" t="s">
        <v>104</v>
      </c>
      <c r="D702" s="29">
        <v>483472000</v>
      </c>
      <c r="E702" s="29">
        <f>B702-F702</f>
        <v>6528000</v>
      </c>
      <c r="F702" s="29">
        <f>145041600+338430400</f>
        <v>483472000</v>
      </c>
      <c r="G702" s="30">
        <v>100</v>
      </c>
      <c r="H702" s="22"/>
      <c r="I702" s="16"/>
      <c r="J702" s="32"/>
      <c r="K702" s="32"/>
      <c r="L702" s="32"/>
      <c r="M702" s="32"/>
      <c r="N702" s="32"/>
    </row>
    <row r="703" spans="1:37" ht="24" x14ac:dyDescent="0.25">
      <c r="A703" s="28" t="s">
        <v>649</v>
      </c>
      <c r="B703" s="29">
        <v>760000000</v>
      </c>
      <c r="C703" s="28" t="s">
        <v>104</v>
      </c>
      <c r="D703" s="29">
        <v>736964200</v>
      </c>
      <c r="E703" s="29">
        <f>B703-F703</f>
        <v>23035800</v>
      </c>
      <c r="F703" s="29">
        <f>221089260+515874940</f>
        <v>736964200</v>
      </c>
      <c r="G703" s="30">
        <v>100</v>
      </c>
      <c r="H703" s="22"/>
      <c r="I703" s="16"/>
      <c r="J703" s="32"/>
      <c r="K703" s="32"/>
      <c r="L703" s="32"/>
      <c r="M703" s="32"/>
      <c r="N703" s="32"/>
    </row>
    <row r="704" spans="1:37" s="32" customFormat="1" ht="36" x14ac:dyDescent="0.25">
      <c r="A704" s="28" t="s">
        <v>650</v>
      </c>
      <c r="B704" s="29">
        <v>147000000</v>
      </c>
      <c r="C704" s="28" t="s">
        <v>104</v>
      </c>
      <c r="D704" s="29">
        <v>145444000</v>
      </c>
      <c r="E704" s="29">
        <f>B704-F704</f>
        <v>1556000</v>
      </c>
      <c r="F704" s="29">
        <v>145444000</v>
      </c>
      <c r="G704" s="30">
        <v>100</v>
      </c>
      <c r="H704" s="22"/>
      <c r="I704" s="16"/>
    </row>
    <row r="705" spans="1:14" ht="24" x14ac:dyDescent="0.25">
      <c r="A705" s="28" t="s">
        <v>651</v>
      </c>
      <c r="B705" s="29">
        <v>760000000</v>
      </c>
      <c r="C705" s="28" t="s">
        <v>104</v>
      </c>
      <c r="D705" s="29">
        <v>750089400</v>
      </c>
      <c r="E705" s="29">
        <f>B705-F705</f>
        <v>9910600</v>
      </c>
      <c r="F705" s="29">
        <v>750089400</v>
      </c>
      <c r="G705" s="30">
        <v>100</v>
      </c>
      <c r="H705" s="22"/>
      <c r="I705" s="16"/>
    </row>
    <row r="706" spans="1:14" s="32" customFormat="1" ht="24" x14ac:dyDescent="0.25">
      <c r="A706" s="28" t="s">
        <v>652</v>
      </c>
      <c r="B706" s="29">
        <v>195000000</v>
      </c>
      <c r="C706" s="28" t="s">
        <v>104</v>
      </c>
      <c r="D706" s="29">
        <v>191999000</v>
      </c>
      <c r="E706" s="29">
        <f>B706-F706</f>
        <v>3001000</v>
      </c>
      <c r="F706" s="29">
        <v>191999000</v>
      </c>
      <c r="G706" s="30">
        <v>100</v>
      </c>
      <c r="H706" s="22"/>
      <c r="I706" s="16"/>
      <c r="J706" s="4"/>
      <c r="K706" s="4"/>
      <c r="L706" s="4"/>
      <c r="M706" s="4"/>
      <c r="N706" s="4"/>
    </row>
    <row r="707" spans="1:14" ht="24" x14ac:dyDescent="0.25">
      <c r="A707" s="28" t="s">
        <v>653</v>
      </c>
      <c r="B707" s="29">
        <v>195000000</v>
      </c>
      <c r="C707" s="28" t="s">
        <v>104</v>
      </c>
      <c r="D707" s="29">
        <v>191799000</v>
      </c>
      <c r="E707" s="29">
        <f>B707-F707</f>
        <v>3201000</v>
      </c>
      <c r="F707" s="29">
        <v>191799000</v>
      </c>
      <c r="G707" s="30">
        <v>100</v>
      </c>
      <c r="H707" s="22"/>
      <c r="I707" s="16"/>
      <c r="J707" s="32"/>
      <c r="K707" s="32"/>
      <c r="L707" s="32"/>
      <c r="M707" s="32"/>
      <c r="N707" s="32"/>
    </row>
    <row r="708" spans="1:14" s="32" customFormat="1" ht="24" x14ac:dyDescent="0.25">
      <c r="A708" s="28" t="s">
        <v>654</v>
      </c>
      <c r="B708" s="29">
        <f>195000000-195000000</f>
        <v>0</v>
      </c>
      <c r="C708" s="28" t="s">
        <v>104</v>
      </c>
      <c r="D708" s="29">
        <v>0</v>
      </c>
      <c r="E708" s="29">
        <f>B708-F708</f>
        <v>0</v>
      </c>
      <c r="F708" s="29">
        <v>0</v>
      </c>
      <c r="G708" s="30">
        <v>0</v>
      </c>
      <c r="H708" s="22"/>
      <c r="I708" s="16"/>
      <c r="J708" s="4"/>
      <c r="K708" s="4"/>
      <c r="L708" s="4"/>
      <c r="M708" s="4"/>
      <c r="N708" s="4"/>
    </row>
    <row r="709" spans="1:14" s="32" customFormat="1" ht="24" x14ac:dyDescent="0.25">
      <c r="A709" s="28" t="s">
        <v>655</v>
      </c>
      <c r="B709" s="29">
        <v>195000000</v>
      </c>
      <c r="C709" s="28" t="s">
        <v>104</v>
      </c>
      <c r="D709" s="29">
        <v>192573000</v>
      </c>
      <c r="E709" s="29">
        <f>B709-F709</f>
        <v>2427000</v>
      </c>
      <c r="F709" s="29">
        <v>192573000</v>
      </c>
      <c r="G709" s="30">
        <v>100</v>
      </c>
      <c r="H709" s="22"/>
      <c r="I709" s="16"/>
    </row>
    <row r="710" spans="1:14" s="32" customFormat="1" ht="24" x14ac:dyDescent="0.25">
      <c r="A710" s="28" t="s">
        <v>656</v>
      </c>
      <c r="B710" s="29">
        <v>565000000</v>
      </c>
      <c r="C710" s="28" t="s">
        <v>104</v>
      </c>
      <c r="D710" s="29">
        <v>546521820</v>
      </c>
      <c r="E710" s="29">
        <f>B710-F710</f>
        <v>18478180</v>
      </c>
      <c r="F710" s="29">
        <v>546521820</v>
      </c>
      <c r="G710" s="30">
        <v>100</v>
      </c>
      <c r="H710" s="22"/>
      <c r="I710" s="16"/>
      <c r="J710" s="4"/>
      <c r="K710" s="4"/>
      <c r="L710" s="4"/>
      <c r="M710" s="4"/>
      <c r="N710" s="4"/>
    </row>
    <row r="711" spans="1:14" s="32" customFormat="1" ht="24" x14ac:dyDescent="0.25">
      <c r="A711" s="28" t="s">
        <v>657</v>
      </c>
      <c r="B711" s="29">
        <v>195000000</v>
      </c>
      <c r="C711" s="28" t="s">
        <v>104</v>
      </c>
      <c r="D711" s="29">
        <v>192430000</v>
      </c>
      <c r="E711" s="29">
        <f>B711-F711</f>
        <v>2570000</v>
      </c>
      <c r="F711" s="29">
        <v>192430000</v>
      </c>
      <c r="G711" s="30">
        <v>100</v>
      </c>
      <c r="H711" s="22"/>
      <c r="I711" s="16"/>
    </row>
    <row r="712" spans="1:14" ht="24" x14ac:dyDescent="0.25">
      <c r="A712" s="28" t="s">
        <v>658</v>
      </c>
      <c r="B712" s="29">
        <v>195000000</v>
      </c>
      <c r="C712" s="28" t="s">
        <v>104</v>
      </c>
      <c r="D712" s="29">
        <v>192715000</v>
      </c>
      <c r="E712" s="29">
        <f>B712-F712</f>
        <v>2285000</v>
      </c>
      <c r="F712" s="29">
        <v>192715000</v>
      </c>
      <c r="G712" s="30">
        <v>100</v>
      </c>
      <c r="H712" s="22"/>
      <c r="I712" s="16"/>
      <c r="J712" s="32"/>
      <c r="K712" s="32"/>
      <c r="L712" s="32"/>
      <c r="M712" s="32"/>
      <c r="N712" s="32"/>
    </row>
    <row r="713" spans="1:14" s="32" customFormat="1" ht="24" x14ac:dyDescent="0.25">
      <c r="A713" s="28" t="s">
        <v>659</v>
      </c>
      <c r="B713" s="29">
        <v>195000000</v>
      </c>
      <c r="C713" s="28" t="s">
        <v>104</v>
      </c>
      <c r="D713" s="29">
        <v>192888000</v>
      </c>
      <c r="E713" s="29">
        <f>B713-F713</f>
        <v>2112000</v>
      </c>
      <c r="F713" s="29">
        <v>192888000</v>
      </c>
      <c r="G713" s="30">
        <v>100</v>
      </c>
      <c r="H713" s="22"/>
      <c r="I713" s="16"/>
    </row>
    <row r="714" spans="1:14" ht="24" x14ac:dyDescent="0.25">
      <c r="A714" s="28" t="s">
        <v>660</v>
      </c>
      <c r="B714" s="29">
        <v>147000000</v>
      </c>
      <c r="C714" s="28" t="s">
        <v>104</v>
      </c>
      <c r="D714" s="29">
        <v>144594000</v>
      </c>
      <c r="E714" s="29">
        <f>B714-F714</f>
        <v>2406000</v>
      </c>
      <c r="F714" s="29">
        <v>144594000</v>
      </c>
      <c r="G714" s="30">
        <v>100</v>
      </c>
      <c r="H714" s="22"/>
      <c r="I714" s="16"/>
      <c r="J714" s="32"/>
      <c r="K714" s="32"/>
      <c r="L714" s="32"/>
      <c r="M714" s="32"/>
      <c r="N714" s="32"/>
    </row>
    <row r="715" spans="1:14" s="32" customFormat="1" ht="24" x14ac:dyDescent="0.25">
      <c r="A715" s="28" t="s">
        <v>661</v>
      </c>
      <c r="B715" s="29">
        <v>295000000</v>
      </c>
      <c r="C715" s="28" t="s">
        <v>104</v>
      </c>
      <c r="D715" s="29">
        <v>290930000</v>
      </c>
      <c r="E715" s="29">
        <f>B715-F715</f>
        <v>4070000</v>
      </c>
      <c r="F715" s="29">
        <v>290930000</v>
      </c>
      <c r="G715" s="30">
        <v>100</v>
      </c>
      <c r="H715" s="22"/>
      <c r="I715" s="16"/>
      <c r="J715" s="4"/>
      <c r="K715" s="4"/>
      <c r="L715" s="4"/>
      <c r="M715" s="4"/>
      <c r="N715" s="4"/>
    </row>
    <row r="716" spans="1:14" ht="24" x14ac:dyDescent="0.25">
      <c r="A716" s="28" t="s">
        <v>662</v>
      </c>
      <c r="B716" s="29">
        <v>195000000</v>
      </c>
      <c r="C716" s="28" t="s">
        <v>104</v>
      </c>
      <c r="D716" s="29">
        <v>192725000</v>
      </c>
      <c r="E716" s="29">
        <f>B716-F716</f>
        <v>2275000</v>
      </c>
      <c r="F716" s="29">
        <v>192725000</v>
      </c>
      <c r="G716" s="30">
        <v>100</v>
      </c>
      <c r="H716" s="22"/>
      <c r="I716" s="16"/>
      <c r="J716" s="32"/>
      <c r="K716" s="32"/>
      <c r="L716" s="32"/>
      <c r="M716" s="32"/>
      <c r="N716" s="32"/>
    </row>
    <row r="717" spans="1:14" s="32" customFormat="1" ht="24" x14ac:dyDescent="0.25">
      <c r="A717" s="28" t="s">
        <v>663</v>
      </c>
      <c r="B717" s="29">
        <v>195000000</v>
      </c>
      <c r="C717" s="28" t="s">
        <v>104</v>
      </c>
      <c r="D717" s="29">
        <v>193300000</v>
      </c>
      <c r="E717" s="29">
        <f>B717-F717</f>
        <v>1700000</v>
      </c>
      <c r="F717" s="29">
        <v>193300000</v>
      </c>
      <c r="G717" s="30">
        <v>100</v>
      </c>
      <c r="H717" s="22"/>
      <c r="I717" s="16"/>
      <c r="J717" s="4"/>
      <c r="K717" s="4"/>
      <c r="L717" s="4"/>
      <c r="M717" s="4"/>
      <c r="N717" s="4"/>
    </row>
    <row r="718" spans="1:14" ht="24" x14ac:dyDescent="0.25">
      <c r="A718" s="28" t="s">
        <v>664</v>
      </c>
      <c r="B718" s="29">
        <v>195000000</v>
      </c>
      <c r="C718" s="28" t="s">
        <v>104</v>
      </c>
      <c r="D718" s="29">
        <v>192725000</v>
      </c>
      <c r="E718" s="29">
        <f>B718-F718</f>
        <v>2275000</v>
      </c>
      <c r="F718" s="29">
        <v>192725000</v>
      </c>
      <c r="G718" s="30">
        <v>100</v>
      </c>
      <c r="H718" s="22"/>
      <c r="I718" s="16"/>
      <c r="J718" s="32"/>
      <c r="K718" s="32"/>
      <c r="L718" s="32"/>
      <c r="M718" s="32"/>
      <c r="N718" s="32"/>
    </row>
    <row r="719" spans="1:14" s="32" customFormat="1" x14ac:dyDescent="0.25">
      <c r="A719" s="28" t="s">
        <v>665</v>
      </c>
      <c r="B719" s="29">
        <f>35822020+201600000+131760000+785289000+170000000+90000000-20000000</f>
        <v>1394471020</v>
      </c>
      <c r="C719" s="28" t="s">
        <v>15</v>
      </c>
      <c r="D719" s="29">
        <f>F719</f>
        <v>1061445100</v>
      </c>
      <c r="E719" s="29">
        <f>B719-F719</f>
        <v>333025920</v>
      </c>
      <c r="F719" s="29">
        <v>1061445100</v>
      </c>
      <c r="G719" s="30">
        <f>F719/B719*100</f>
        <v>76.118118252468236</v>
      </c>
      <c r="H719" s="22"/>
      <c r="I719" s="16"/>
      <c r="J719" s="4"/>
      <c r="K719" s="4"/>
      <c r="L719" s="4"/>
      <c r="M719" s="4"/>
      <c r="N719" s="4"/>
    </row>
    <row r="720" spans="1:14" ht="24" x14ac:dyDescent="0.25">
      <c r="A720" s="28" t="s">
        <v>666</v>
      </c>
      <c r="B720" s="29">
        <v>50000000</v>
      </c>
      <c r="C720" s="28" t="s">
        <v>111</v>
      </c>
      <c r="D720" s="29">
        <v>49173000</v>
      </c>
      <c r="E720" s="29">
        <f>B720-F720</f>
        <v>827000</v>
      </c>
      <c r="F720" s="29">
        <v>49173000</v>
      </c>
      <c r="G720" s="30">
        <v>100</v>
      </c>
      <c r="H720" s="22"/>
      <c r="I720" s="16"/>
      <c r="J720" s="32"/>
      <c r="K720" s="32"/>
      <c r="L720" s="32"/>
      <c r="M720" s="32"/>
      <c r="N720" s="32"/>
    </row>
    <row r="721" spans="1:14" s="32" customFormat="1" ht="24" x14ac:dyDescent="0.25">
      <c r="A721" s="28" t="s">
        <v>667</v>
      </c>
      <c r="B721" s="29">
        <v>60000000</v>
      </c>
      <c r="C721" s="28" t="s">
        <v>111</v>
      </c>
      <c r="D721" s="29">
        <v>57498000</v>
      </c>
      <c r="E721" s="29">
        <f>B721-F721</f>
        <v>2502000</v>
      </c>
      <c r="F721" s="29">
        <v>57498000</v>
      </c>
      <c r="G721" s="30">
        <f>G763</f>
        <v>100</v>
      </c>
      <c r="H721" s="22"/>
      <c r="I721" s="16"/>
      <c r="J721" s="4"/>
      <c r="K721" s="4"/>
      <c r="L721" s="4"/>
      <c r="M721" s="4"/>
      <c r="N721" s="4"/>
    </row>
    <row r="722" spans="1:14" ht="24" x14ac:dyDescent="0.25">
      <c r="A722" s="28" t="s">
        <v>668</v>
      </c>
      <c r="B722" s="29">
        <v>50000000</v>
      </c>
      <c r="C722" s="28" t="s">
        <v>111</v>
      </c>
      <c r="D722" s="29">
        <v>48507000</v>
      </c>
      <c r="E722" s="29">
        <f>B722-F722</f>
        <v>1493000</v>
      </c>
      <c r="F722" s="29">
        <v>48507000</v>
      </c>
      <c r="G722" s="30">
        <v>100</v>
      </c>
      <c r="H722" s="22"/>
      <c r="I722" s="16"/>
      <c r="J722" s="32"/>
      <c r="K722" s="32"/>
      <c r="L722" s="32"/>
      <c r="M722" s="32"/>
      <c r="N722" s="32"/>
    </row>
    <row r="723" spans="1:14" s="32" customFormat="1" ht="24" x14ac:dyDescent="0.25">
      <c r="A723" s="28" t="s">
        <v>669</v>
      </c>
      <c r="B723" s="29">
        <v>60000000</v>
      </c>
      <c r="C723" s="28" t="s">
        <v>111</v>
      </c>
      <c r="D723" s="29">
        <v>59052000</v>
      </c>
      <c r="E723" s="29">
        <f>B723-F723</f>
        <v>948000</v>
      </c>
      <c r="F723" s="29">
        <v>59052000</v>
      </c>
      <c r="G723" s="30">
        <v>100</v>
      </c>
      <c r="H723" s="22"/>
      <c r="I723" s="16"/>
      <c r="J723" s="4"/>
      <c r="K723" s="4"/>
      <c r="L723" s="4"/>
      <c r="M723" s="4"/>
      <c r="N723" s="4"/>
    </row>
    <row r="724" spans="1:14" ht="24" x14ac:dyDescent="0.25">
      <c r="A724" s="28" t="s">
        <v>670</v>
      </c>
      <c r="B724" s="29">
        <v>40000000</v>
      </c>
      <c r="C724" s="28" t="s">
        <v>111</v>
      </c>
      <c r="D724" s="29">
        <v>39410000</v>
      </c>
      <c r="E724" s="29">
        <f>B724-F724</f>
        <v>590000</v>
      </c>
      <c r="F724" s="29">
        <v>39410000</v>
      </c>
      <c r="G724" s="30">
        <v>100</v>
      </c>
      <c r="H724" s="22"/>
      <c r="I724" s="16"/>
      <c r="J724" s="32"/>
      <c r="K724" s="32"/>
      <c r="L724" s="32"/>
      <c r="M724" s="32"/>
      <c r="N724" s="32"/>
    </row>
    <row r="725" spans="1:14" s="32" customFormat="1" ht="24" x14ac:dyDescent="0.25">
      <c r="A725" s="28" t="s">
        <v>671</v>
      </c>
      <c r="B725" s="29">
        <v>50000000</v>
      </c>
      <c r="C725" s="28" t="s">
        <v>111</v>
      </c>
      <c r="D725" s="29">
        <v>48396000</v>
      </c>
      <c r="E725" s="29">
        <f>B725-F725</f>
        <v>1604000</v>
      </c>
      <c r="F725" s="29">
        <v>48396000</v>
      </c>
      <c r="G725" s="30">
        <v>100</v>
      </c>
      <c r="H725" s="22"/>
      <c r="I725" s="16"/>
      <c r="J725" s="4"/>
      <c r="K725" s="4"/>
      <c r="L725" s="4"/>
      <c r="M725" s="4"/>
      <c r="N725" s="4"/>
    </row>
    <row r="726" spans="1:14" ht="24" x14ac:dyDescent="0.25">
      <c r="A726" s="28" t="s">
        <v>672</v>
      </c>
      <c r="B726" s="29">
        <v>30000000</v>
      </c>
      <c r="C726" s="28" t="s">
        <v>111</v>
      </c>
      <c r="D726" s="29">
        <v>29415000</v>
      </c>
      <c r="E726" s="29">
        <f>B726-F726</f>
        <v>585000</v>
      </c>
      <c r="F726" s="29">
        <v>29415000</v>
      </c>
      <c r="G726" s="30">
        <v>100</v>
      </c>
      <c r="H726" s="22"/>
      <c r="I726" s="16"/>
      <c r="J726" s="32"/>
      <c r="K726" s="32"/>
      <c r="L726" s="32"/>
      <c r="M726" s="32"/>
      <c r="N726" s="32"/>
    </row>
    <row r="727" spans="1:14" s="32" customFormat="1" ht="24" x14ac:dyDescent="0.25">
      <c r="A727" s="28" t="s">
        <v>673</v>
      </c>
      <c r="B727" s="29">
        <v>40000000</v>
      </c>
      <c r="C727" s="28" t="s">
        <v>111</v>
      </c>
      <c r="D727" s="29">
        <v>39072000</v>
      </c>
      <c r="E727" s="29">
        <f>B727-F727</f>
        <v>928000</v>
      </c>
      <c r="F727" s="29">
        <v>39072000</v>
      </c>
      <c r="G727" s="30">
        <v>100</v>
      </c>
      <c r="H727" s="22"/>
      <c r="I727" s="16"/>
      <c r="J727" s="4"/>
      <c r="K727" s="4"/>
      <c r="L727" s="4"/>
      <c r="M727" s="4"/>
      <c r="N727" s="4"/>
    </row>
    <row r="728" spans="1:14" ht="24" x14ac:dyDescent="0.25">
      <c r="A728" s="28" t="s">
        <v>674</v>
      </c>
      <c r="B728" s="29">
        <v>30000000</v>
      </c>
      <c r="C728" s="28" t="s">
        <v>111</v>
      </c>
      <c r="D728" s="29">
        <v>29426100</v>
      </c>
      <c r="E728" s="29">
        <f>B728-F728</f>
        <v>573900</v>
      </c>
      <c r="F728" s="29">
        <v>29426100</v>
      </c>
      <c r="G728" s="30">
        <v>100</v>
      </c>
      <c r="H728" s="22"/>
      <c r="I728" s="16"/>
      <c r="J728" s="32"/>
      <c r="K728" s="32"/>
      <c r="L728" s="32"/>
      <c r="M728" s="32"/>
      <c r="N728" s="32"/>
    </row>
    <row r="729" spans="1:14" s="32" customFormat="1" ht="24" x14ac:dyDescent="0.25">
      <c r="A729" s="28" t="s">
        <v>675</v>
      </c>
      <c r="B729" s="29">
        <v>40000000</v>
      </c>
      <c r="C729" s="28" t="s">
        <v>111</v>
      </c>
      <c r="D729" s="29">
        <v>39002070</v>
      </c>
      <c r="E729" s="29">
        <f>B729-F729</f>
        <v>997930</v>
      </c>
      <c r="F729" s="29">
        <v>39002070</v>
      </c>
      <c r="G729" s="30">
        <v>100</v>
      </c>
      <c r="H729" s="22"/>
      <c r="I729" s="16"/>
      <c r="J729" s="4"/>
      <c r="K729" s="4"/>
      <c r="L729" s="4"/>
      <c r="M729" s="4"/>
      <c r="N729" s="4"/>
    </row>
    <row r="730" spans="1:14" ht="24" x14ac:dyDescent="0.25">
      <c r="A730" s="28" t="s">
        <v>676</v>
      </c>
      <c r="B730" s="29">
        <v>30000000</v>
      </c>
      <c r="C730" s="28" t="s">
        <v>111</v>
      </c>
      <c r="D730" s="29">
        <v>29503800</v>
      </c>
      <c r="E730" s="29">
        <f>B730-F730</f>
        <v>496200</v>
      </c>
      <c r="F730" s="29">
        <v>29503800</v>
      </c>
      <c r="G730" s="30">
        <v>100</v>
      </c>
      <c r="H730" s="22"/>
      <c r="I730" s="16"/>
      <c r="J730" s="32"/>
      <c r="K730" s="32"/>
      <c r="L730" s="32"/>
      <c r="M730" s="32"/>
      <c r="N730" s="32"/>
    </row>
    <row r="731" spans="1:14" s="32" customFormat="1" ht="24" x14ac:dyDescent="0.25">
      <c r="A731" s="28" t="s">
        <v>677</v>
      </c>
      <c r="B731" s="29">
        <v>40000000</v>
      </c>
      <c r="C731" s="28" t="s">
        <v>111</v>
      </c>
      <c r="D731" s="29">
        <v>38417000</v>
      </c>
      <c r="E731" s="29">
        <f>B731-F731</f>
        <v>1583000</v>
      </c>
      <c r="F731" s="29">
        <v>38417000</v>
      </c>
      <c r="G731" s="30">
        <v>100</v>
      </c>
      <c r="H731" s="22"/>
      <c r="I731" s="16"/>
      <c r="J731" s="4"/>
      <c r="K731" s="4"/>
      <c r="L731" s="4"/>
      <c r="M731" s="4"/>
      <c r="N731" s="4"/>
    </row>
    <row r="732" spans="1:14" s="32" customFormat="1" ht="24" x14ac:dyDescent="0.25">
      <c r="A732" s="28" t="s">
        <v>678</v>
      </c>
      <c r="B732" s="29">
        <v>30000000</v>
      </c>
      <c r="C732" s="28" t="s">
        <v>111</v>
      </c>
      <c r="D732" s="29">
        <v>29360000</v>
      </c>
      <c r="E732" s="29">
        <f>B732-F732</f>
        <v>640000</v>
      </c>
      <c r="F732" s="29">
        <v>29360000</v>
      </c>
      <c r="G732" s="30">
        <v>100</v>
      </c>
      <c r="H732" s="22"/>
      <c r="I732" s="16"/>
    </row>
    <row r="733" spans="1:14" s="32" customFormat="1" ht="24" x14ac:dyDescent="0.25">
      <c r="A733" s="28" t="s">
        <v>679</v>
      </c>
      <c r="B733" s="29">
        <v>40000000</v>
      </c>
      <c r="C733" s="28" t="s">
        <v>111</v>
      </c>
      <c r="D733" s="29">
        <v>38961000</v>
      </c>
      <c r="E733" s="29">
        <f>B733-F733</f>
        <v>1039000</v>
      </c>
      <c r="F733" s="29">
        <v>38961000</v>
      </c>
      <c r="G733" s="30">
        <v>100</v>
      </c>
      <c r="H733" s="22"/>
      <c r="I733" s="16"/>
      <c r="J733" s="4"/>
      <c r="K733" s="4"/>
      <c r="L733" s="4"/>
      <c r="M733" s="4"/>
      <c r="N733" s="4"/>
    </row>
    <row r="734" spans="1:14" ht="24" x14ac:dyDescent="0.25">
      <c r="A734" s="28" t="s">
        <v>680</v>
      </c>
      <c r="B734" s="29">
        <v>30000000</v>
      </c>
      <c r="C734" s="28" t="s">
        <v>111</v>
      </c>
      <c r="D734" s="29">
        <v>29315100</v>
      </c>
      <c r="E734" s="29">
        <f>B734-F734</f>
        <v>684900</v>
      </c>
      <c r="F734" s="29">
        <v>29315100</v>
      </c>
      <c r="G734" s="30">
        <v>100</v>
      </c>
      <c r="H734" s="22"/>
      <c r="I734" s="16"/>
      <c r="J734" s="32"/>
      <c r="K734" s="32"/>
      <c r="L734" s="32"/>
      <c r="M734" s="32"/>
      <c r="N734" s="32"/>
    </row>
    <row r="735" spans="1:14" s="32" customFormat="1" ht="24" x14ac:dyDescent="0.25">
      <c r="A735" s="28" t="s">
        <v>681</v>
      </c>
      <c r="B735" s="29">
        <v>30000000</v>
      </c>
      <c r="C735" s="28" t="s">
        <v>111</v>
      </c>
      <c r="D735" s="29">
        <v>29476050</v>
      </c>
      <c r="E735" s="29">
        <f>B735-F735</f>
        <v>523950</v>
      </c>
      <c r="F735" s="29">
        <v>29476050</v>
      </c>
      <c r="G735" s="30">
        <v>100</v>
      </c>
      <c r="H735" s="22"/>
      <c r="I735" s="16"/>
    </row>
    <row r="736" spans="1:14" s="32" customFormat="1" ht="24" x14ac:dyDescent="0.25">
      <c r="A736" s="28" t="s">
        <v>682</v>
      </c>
      <c r="B736" s="29">
        <v>30000000</v>
      </c>
      <c r="C736" s="28" t="s">
        <v>111</v>
      </c>
      <c r="D736" s="29">
        <v>28121800</v>
      </c>
      <c r="E736" s="29">
        <f>B736-F736</f>
        <v>1878200</v>
      </c>
      <c r="F736" s="29">
        <v>28121800</v>
      </c>
      <c r="G736" s="30">
        <v>100</v>
      </c>
      <c r="H736" s="22"/>
      <c r="I736" s="16"/>
    </row>
    <row r="737" spans="1:14" s="32" customFormat="1" ht="24" x14ac:dyDescent="0.25">
      <c r="A737" s="28" t="s">
        <v>683</v>
      </c>
      <c r="B737" s="29">
        <v>0</v>
      </c>
      <c r="C737" s="28" t="s">
        <v>111</v>
      </c>
      <c r="D737" s="29">
        <v>0</v>
      </c>
      <c r="E737" s="29">
        <f>B737-F737</f>
        <v>0</v>
      </c>
      <c r="F737" s="29">
        <v>0</v>
      </c>
      <c r="G737" s="30">
        <v>0</v>
      </c>
      <c r="H737" s="22"/>
      <c r="I737" s="16"/>
      <c r="J737" s="4"/>
      <c r="K737" s="4"/>
      <c r="L737" s="4"/>
      <c r="M737" s="4"/>
      <c r="N737" s="4"/>
    </row>
    <row r="738" spans="1:14" s="32" customFormat="1" ht="24" x14ac:dyDescent="0.25">
      <c r="A738" s="28" t="s">
        <v>684</v>
      </c>
      <c r="B738" s="29">
        <v>30000000</v>
      </c>
      <c r="C738" s="28" t="s">
        <v>111</v>
      </c>
      <c r="D738" s="29">
        <v>29681000</v>
      </c>
      <c r="E738" s="29">
        <f>B738-F738</f>
        <v>319000</v>
      </c>
      <c r="F738" s="29">
        <v>29681000</v>
      </c>
      <c r="G738" s="30">
        <v>100</v>
      </c>
      <c r="H738" s="22"/>
      <c r="I738" s="16"/>
    </row>
    <row r="739" spans="1:14" s="32" customFormat="1" ht="24" x14ac:dyDescent="0.25">
      <c r="A739" s="28" t="s">
        <v>685</v>
      </c>
      <c r="B739" s="29">
        <v>30000000</v>
      </c>
      <c r="C739" s="28" t="s">
        <v>111</v>
      </c>
      <c r="D739" s="29">
        <v>29716000</v>
      </c>
      <c r="E739" s="29">
        <f>B739-F739</f>
        <v>284000</v>
      </c>
      <c r="F739" s="29">
        <v>29716000</v>
      </c>
      <c r="G739" s="30">
        <v>100</v>
      </c>
      <c r="H739" s="22"/>
      <c r="I739" s="16"/>
    </row>
    <row r="740" spans="1:14" ht="24" x14ac:dyDescent="0.25">
      <c r="A740" s="28" t="s">
        <v>686</v>
      </c>
      <c r="B740" s="29">
        <v>30000000</v>
      </c>
      <c r="C740" s="28" t="s">
        <v>111</v>
      </c>
      <c r="D740" s="29">
        <v>29681000</v>
      </c>
      <c r="E740" s="29">
        <f>B740-F740</f>
        <v>319000</v>
      </c>
      <c r="F740" s="29">
        <v>29681000</v>
      </c>
      <c r="G740" s="30">
        <v>100</v>
      </c>
      <c r="H740" s="22"/>
      <c r="I740" s="16"/>
      <c r="J740" s="32"/>
      <c r="K740" s="32"/>
      <c r="L740" s="32"/>
      <c r="M740" s="32"/>
      <c r="N740" s="32"/>
    </row>
    <row r="741" spans="1:14" s="32" customFormat="1" ht="24" x14ac:dyDescent="0.25">
      <c r="A741" s="28" t="s">
        <v>687</v>
      </c>
      <c r="B741" s="29">
        <v>30000000</v>
      </c>
      <c r="C741" s="28" t="s">
        <v>111</v>
      </c>
      <c r="D741" s="29">
        <v>29387000</v>
      </c>
      <c r="E741" s="29">
        <f>B741-F741</f>
        <v>613000</v>
      </c>
      <c r="F741" s="29">
        <v>29387000</v>
      </c>
      <c r="G741" s="30">
        <v>100</v>
      </c>
      <c r="H741" s="22"/>
      <c r="I741" s="16"/>
    </row>
    <row r="742" spans="1:14" s="32" customFormat="1" ht="24" x14ac:dyDescent="0.25">
      <c r="A742" s="28" t="s">
        <v>688</v>
      </c>
      <c r="B742" s="29">
        <v>30000000</v>
      </c>
      <c r="C742" s="28" t="s">
        <v>111</v>
      </c>
      <c r="D742" s="29">
        <v>29415000</v>
      </c>
      <c r="E742" s="29">
        <f>B742-F742</f>
        <v>585000</v>
      </c>
      <c r="F742" s="29">
        <v>29415000</v>
      </c>
      <c r="G742" s="30">
        <v>100</v>
      </c>
      <c r="H742" s="22"/>
      <c r="I742" s="16"/>
    </row>
    <row r="743" spans="1:14" s="32" customFormat="1" ht="24" x14ac:dyDescent="0.25">
      <c r="A743" s="28" t="s">
        <v>689</v>
      </c>
      <c r="B743" s="29">
        <v>40000000</v>
      </c>
      <c r="C743" s="28" t="s">
        <v>111</v>
      </c>
      <c r="D743" s="29">
        <v>39183000</v>
      </c>
      <c r="E743" s="29">
        <f>B743-F743</f>
        <v>817000</v>
      </c>
      <c r="F743" s="29">
        <v>39183000</v>
      </c>
      <c r="G743" s="30">
        <v>100</v>
      </c>
      <c r="H743" s="22"/>
      <c r="I743" s="16"/>
      <c r="J743" s="4"/>
      <c r="K743" s="4"/>
      <c r="L743" s="4"/>
      <c r="M743" s="4"/>
      <c r="N743" s="4"/>
    </row>
    <row r="744" spans="1:14" s="32" customFormat="1" ht="24" x14ac:dyDescent="0.25">
      <c r="A744" s="28" t="s">
        <v>690</v>
      </c>
      <c r="B744" s="29">
        <v>50000000</v>
      </c>
      <c r="C744" s="28" t="s">
        <v>111</v>
      </c>
      <c r="D744" s="29">
        <v>48407100</v>
      </c>
      <c r="E744" s="29">
        <f>B744-F744</f>
        <v>1592900</v>
      </c>
      <c r="F744" s="29">
        <v>48407100</v>
      </c>
      <c r="G744" s="30">
        <v>100</v>
      </c>
      <c r="H744" s="22"/>
      <c r="I744" s="16"/>
    </row>
    <row r="745" spans="1:14" ht="24" x14ac:dyDescent="0.25">
      <c r="A745" s="28" t="s">
        <v>691</v>
      </c>
      <c r="B745" s="29">
        <v>50000000</v>
      </c>
      <c r="C745" s="28" t="s">
        <v>111</v>
      </c>
      <c r="D745" s="29">
        <v>48867750</v>
      </c>
      <c r="E745" s="29">
        <f>B745-F745</f>
        <v>1132250</v>
      </c>
      <c r="F745" s="29">
        <v>48867750</v>
      </c>
      <c r="G745" s="30">
        <v>100</v>
      </c>
      <c r="H745" s="22"/>
      <c r="I745" s="16"/>
      <c r="J745" s="32"/>
      <c r="K745" s="32"/>
      <c r="L745" s="32"/>
      <c r="M745" s="32"/>
      <c r="N745" s="32"/>
    </row>
    <row r="746" spans="1:14" ht="24" x14ac:dyDescent="0.25">
      <c r="A746" s="28" t="s">
        <v>692</v>
      </c>
      <c r="B746" s="29">
        <v>50000000</v>
      </c>
      <c r="C746" s="28" t="s">
        <v>111</v>
      </c>
      <c r="D746" s="29">
        <v>49062000</v>
      </c>
      <c r="E746" s="29">
        <f>B746-F746</f>
        <v>938000</v>
      </c>
      <c r="F746" s="29">
        <v>49062000</v>
      </c>
      <c r="G746" s="30">
        <v>100</v>
      </c>
      <c r="H746" s="22"/>
      <c r="I746" s="16"/>
      <c r="J746" s="32"/>
      <c r="K746" s="32"/>
      <c r="L746" s="32"/>
      <c r="M746" s="32"/>
      <c r="N746" s="32"/>
    </row>
    <row r="747" spans="1:14" ht="24" x14ac:dyDescent="0.25">
      <c r="A747" s="28" t="s">
        <v>693</v>
      </c>
      <c r="B747" s="29">
        <v>50000000</v>
      </c>
      <c r="C747" s="28" t="s">
        <v>111</v>
      </c>
      <c r="D747" s="29">
        <v>48951000</v>
      </c>
      <c r="E747" s="29">
        <f>B747-F747</f>
        <v>1049000</v>
      </c>
      <c r="F747" s="29">
        <v>48951000</v>
      </c>
      <c r="G747" s="30">
        <v>100</v>
      </c>
      <c r="H747" s="22"/>
      <c r="I747" s="16"/>
      <c r="J747" s="32"/>
      <c r="K747" s="32"/>
      <c r="L747" s="32"/>
      <c r="M747" s="32"/>
      <c r="N747" s="32"/>
    </row>
    <row r="748" spans="1:14" ht="24" x14ac:dyDescent="0.25">
      <c r="A748" s="28" t="s">
        <v>694</v>
      </c>
      <c r="B748" s="29">
        <v>60000000</v>
      </c>
      <c r="C748" s="28" t="s">
        <v>111</v>
      </c>
      <c r="D748" s="29">
        <v>58086300</v>
      </c>
      <c r="E748" s="29">
        <f>B748-F748</f>
        <v>1913700</v>
      </c>
      <c r="F748" s="29">
        <v>58086300</v>
      </c>
      <c r="G748" s="30">
        <v>100</v>
      </c>
      <c r="H748" s="22"/>
      <c r="I748" s="16"/>
    </row>
    <row r="749" spans="1:14" ht="24" x14ac:dyDescent="0.25">
      <c r="A749" s="28" t="s">
        <v>695</v>
      </c>
      <c r="B749" s="29">
        <v>60000000</v>
      </c>
      <c r="C749" s="28" t="s">
        <v>111</v>
      </c>
      <c r="D749" s="29">
        <v>58830000</v>
      </c>
      <c r="E749" s="29">
        <f>B749-F749</f>
        <v>1170000</v>
      </c>
      <c r="F749" s="29">
        <v>58830000</v>
      </c>
      <c r="G749" s="30">
        <v>100</v>
      </c>
      <c r="H749" s="22"/>
      <c r="I749" s="16"/>
    </row>
    <row r="750" spans="1:14" ht="24" x14ac:dyDescent="0.25">
      <c r="A750" s="28" t="s">
        <v>696</v>
      </c>
      <c r="B750" s="29">
        <v>60000000</v>
      </c>
      <c r="C750" s="28" t="s">
        <v>111</v>
      </c>
      <c r="D750" s="29">
        <v>59329000</v>
      </c>
      <c r="E750" s="29">
        <f>B750-F750</f>
        <v>671000</v>
      </c>
      <c r="F750" s="29">
        <v>59329000</v>
      </c>
      <c r="G750" s="30">
        <v>100</v>
      </c>
      <c r="H750" s="22"/>
      <c r="I750" s="16"/>
    </row>
    <row r="751" spans="1:14" ht="24" x14ac:dyDescent="0.25">
      <c r="A751" s="28" t="s">
        <v>697</v>
      </c>
      <c r="B751" s="29">
        <v>40000000</v>
      </c>
      <c r="C751" s="28" t="s">
        <v>111</v>
      </c>
      <c r="D751" s="29">
        <v>39500460</v>
      </c>
      <c r="E751" s="29">
        <f>B751-F751</f>
        <v>499540</v>
      </c>
      <c r="F751" s="29">
        <v>39500460</v>
      </c>
      <c r="G751" s="30">
        <v>100</v>
      </c>
      <c r="H751" s="22"/>
      <c r="I751" s="16"/>
    </row>
    <row r="752" spans="1:14" ht="24" x14ac:dyDescent="0.25">
      <c r="A752" s="28" t="s">
        <v>698</v>
      </c>
      <c r="B752" s="29">
        <v>40000000</v>
      </c>
      <c r="C752" s="28" t="s">
        <v>111</v>
      </c>
      <c r="D752" s="29">
        <v>39016500</v>
      </c>
      <c r="E752" s="29">
        <f>B752-F752</f>
        <v>983500</v>
      </c>
      <c r="F752" s="29">
        <v>39016500</v>
      </c>
      <c r="G752" s="30">
        <v>100</v>
      </c>
      <c r="H752" s="22"/>
      <c r="I752" s="16"/>
    </row>
    <row r="753" spans="1:14" ht="24" x14ac:dyDescent="0.25">
      <c r="A753" s="28" t="s">
        <v>699</v>
      </c>
      <c r="B753" s="29">
        <v>0</v>
      </c>
      <c r="C753" s="28" t="s">
        <v>111</v>
      </c>
      <c r="D753" s="29">
        <v>0</v>
      </c>
      <c r="E753" s="29">
        <f>B753-F753</f>
        <v>0</v>
      </c>
      <c r="F753" s="29">
        <v>0</v>
      </c>
      <c r="G753" s="30">
        <v>0</v>
      </c>
      <c r="H753" s="22"/>
      <c r="I753" s="16"/>
    </row>
    <row r="754" spans="1:14" ht="24" x14ac:dyDescent="0.25">
      <c r="A754" s="28" t="s">
        <v>700</v>
      </c>
      <c r="B754" s="29">
        <v>40000000</v>
      </c>
      <c r="C754" s="28" t="s">
        <v>111</v>
      </c>
      <c r="D754" s="29">
        <v>39615000</v>
      </c>
      <c r="E754" s="29">
        <f>B754-F754</f>
        <v>385000</v>
      </c>
      <c r="F754" s="29">
        <v>39615000</v>
      </c>
      <c r="G754" s="30">
        <v>100</v>
      </c>
      <c r="H754" s="22"/>
      <c r="I754" s="16"/>
    </row>
    <row r="755" spans="1:14" ht="24" x14ac:dyDescent="0.25">
      <c r="A755" s="28" t="s">
        <v>701</v>
      </c>
      <c r="B755" s="29">
        <v>40000000</v>
      </c>
      <c r="C755" s="28" t="s">
        <v>111</v>
      </c>
      <c r="D755" s="29">
        <v>38956000</v>
      </c>
      <c r="E755" s="29">
        <f>B755-F755</f>
        <v>1044000</v>
      </c>
      <c r="F755" s="29">
        <v>38956000</v>
      </c>
      <c r="G755" s="30">
        <v>100</v>
      </c>
      <c r="H755" s="22"/>
      <c r="I755" s="16"/>
    </row>
    <row r="756" spans="1:14" ht="24" x14ac:dyDescent="0.25">
      <c r="A756" s="28" t="s">
        <v>702</v>
      </c>
      <c r="B756" s="29">
        <v>40000000</v>
      </c>
      <c r="C756" s="28" t="s">
        <v>111</v>
      </c>
      <c r="D756" s="29">
        <v>38628000</v>
      </c>
      <c r="E756" s="29">
        <f>B756-F756</f>
        <v>1372000</v>
      </c>
      <c r="F756" s="29">
        <v>38628000</v>
      </c>
      <c r="G756" s="30">
        <v>100</v>
      </c>
      <c r="H756" s="22"/>
      <c r="I756" s="16"/>
    </row>
    <row r="757" spans="1:14" s="32" customFormat="1" ht="24" x14ac:dyDescent="0.25">
      <c r="A757" s="28" t="s">
        <v>703</v>
      </c>
      <c r="B757" s="29">
        <v>40000000</v>
      </c>
      <c r="C757" s="28" t="s">
        <v>111</v>
      </c>
      <c r="D757" s="29" t="s">
        <v>704</v>
      </c>
      <c r="E757" s="29">
        <f>B757-F757</f>
        <v>1261000</v>
      </c>
      <c r="F757" s="29">
        <v>38739000</v>
      </c>
      <c r="G757" s="30">
        <v>100</v>
      </c>
      <c r="H757" s="22"/>
      <c r="I757" s="16"/>
      <c r="J757" s="4"/>
      <c r="K757" s="4"/>
      <c r="L757" s="4"/>
      <c r="M757" s="4"/>
      <c r="N757" s="4"/>
    </row>
    <row r="758" spans="1:14" ht="24" x14ac:dyDescent="0.25">
      <c r="A758" s="28" t="s">
        <v>705</v>
      </c>
      <c r="B758" s="29">
        <v>40000000</v>
      </c>
      <c r="C758" s="28" t="s">
        <v>111</v>
      </c>
      <c r="D758" s="29">
        <v>38572000</v>
      </c>
      <c r="E758" s="29">
        <f>B758-F758</f>
        <v>1428000</v>
      </c>
      <c r="F758" s="29">
        <v>38572000</v>
      </c>
      <c r="G758" s="30">
        <v>100</v>
      </c>
      <c r="H758" s="22"/>
      <c r="I758" s="16"/>
    </row>
    <row r="759" spans="1:14" s="32" customFormat="1" ht="24" x14ac:dyDescent="0.25">
      <c r="A759" s="28" t="s">
        <v>706</v>
      </c>
      <c r="B759" s="29">
        <v>50000000</v>
      </c>
      <c r="C759" s="28" t="s">
        <v>111</v>
      </c>
      <c r="D759" s="29">
        <v>48562000</v>
      </c>
      <c r="E759" s="29">
        <f>B759-F759</f>
        <v>1438000</v>
      </c>
      <c r="F759" s="29">
        <v>48562000</v>
      </c>
      <c r="G759" s="30">
        <v>100</v>
      </c>
      <c r="H759" s="22"/>
      <c r="I759" s="16"/>
      <c r="J759" s="4"/>
      <c r="K759" s="4"/>
      <c r="L759" s="4"/>
      <c r="M759" s="4"/>
      <c r="N759" s="4"/>
    </row>
    <row r="760" spans="1:14" s="32" customFormat="1" ht="24" x14ac:dyDescent="0.25">
      <c r="A760" s="28" t="s">
        <v>707</v>
      </c>
      <c r="B760" s="29">
        <v>30000000</v>
      </c>
      <c r="C760" s="28" t="s">
        <v>111</v>
      </c>
      <c r="D760" s="29">
        <v>29720250</v>
      </c>
      <c r="E760" s="29">
        <f>B760-F760</f>
        <v>279750</v>
      </c>
      <c r="F760" s="29">
        <v>29720250</v>
      </c>
      <c r="G760" s="30">
        <v>100</v>
      </c>
      <c r="H760" s="22"/>
      <c r="I760" s="16"/>
    </row>
    <row r="761" spans="1:14" s="32" customFormat="1" ht="24" x14ac:dyDescent="0.25">
      <c r="A761" s="28" t="s">
        <v>708</v>
      </c>
      <c r="B761" s="29">
        <v>40000000</v>
      </c>
      <c r="C761" s="28" t="s">
        <v>111</v>
      </c>
      <c r="D761" s="29">
        <v>39738000</v>
      </c>
      <c r="E761" s="29">
        <f>B761-F761</f>
        <v>262000</v>
      </c>
      <c r="F761" s="29">
        <v>39738000</v>
      </c>
      <c r="G761" s="30">
        <v>100</v>
      </c>
      <c r="H761" s="22"/>
      <c r="I761" s="16"/>
      <c r="J761" s="4"/>
      <c r="K761" s="4"/>
      <c r="L761" s="4"/>
      <c r="M761" s="4"/>
      <c r="N761" s="4"/>
    </row>
    <row r="762" spans="1:14" s="32" customFormat="1" ht="24" x14ac:dyDescent="0.25">
      <c r="A762" s="28" t="s">
        <v>709</v>
      </c>
      <c r="B762" s="29">
        <v>40000000</v>
      </c>
      <c r="C762" s="28" t="s">
        <v>111</v>
      </c>
      <c r="D762" s="29">
        <v>39027000</v>
      </c>
      <c r="E762" s="29">
        <f>B762-F762</f>
        <v>973000</v>
      </c>
      <c r="F762" s="29">
        <v>39027000</v>
      </c>
      <c r="G762" s="30">
        <v>100</v>
      </c>
      <c r="H762" s="22"/>
      <c r="I762" s="16"/>
    </row>
    <row r="763" spans="1:14" ht="24" x14ac:dyDescent="0.25">
      <c r="A763" s="28" t="s">
        <v>710</v>
      </c>
      <c r="B763" s="29">
        <v>4565000000</v>
      </c>
      <c r="C763" s="28" t="s">
        <v>104</v>
      </c>
      <c r="D763" s="29">
        <v>4507253500</v>
      </c>
      <c r="E763" s="29">
        <f>B763-F763</f>
        <v>57746500</v>
      </c>
      <c r="F763" s="29">
        <v>4507253500</v>
      </c>
      <c r="G763" s="30">
        <v>100</v>
      </c>
      <c r="H763" s="22"/>
      <c r="I763" s="16"/>
      <c r="J763" s="32"/>
      <c r="K763" s="32"/>
      <c r="L763" s="32"/>
      <c r="M763" s="32"/>
      <c r="N763" s="32"/>
    </row>
    <row r="764" spans="1:14" s="32" customFormat="1" ht="24" x14ac:dyDescent="0.25">
      <c r="A764" s="28" t="s">
        <v>711</v>
      </c>
      <c r="B764" s="29">
        <v>4050000000</v>
      </c>
      <c r="C764" s="28" t="s">
        <v>104</v>
      </c>
      <c r="D764" s="29">
        <v>3996971000</v>
      </c>
      <c r="E764" s="29">
        <f>B764-F764</f>
        <v>53029000</v>
      </c>
      <c r="F764" s="29">
        <v>3996971000</v>
      </c>
      <c r="G764" s="30">
        <v>100</v>
      </c>
      <c r="H764" s="22"/>
      <c r="I764" s="16"/>
    </row>
    <row r="765" spans="1:14" ht="24" x14ac:dyDescent="0.25">
      <c r="A765" s="28" t="s">
        <v>712</v>
      </c>
      <c r="B765" s="29">
        <v>2417000000</v>
      </c>
      <c r="C765" s="28" t="s">
        <v>104</v>
      </c>
      <c r="D765" s="29">
        <v>2386856700</v>
      </c>
      <c r="E765" s="29">
        <f>B765-F765</f>
        <v>30143300</v>
      </c>
      <c r="F765" s="29">
        <f>716057010+1670799690</f>
        <v>2386856700</v>
      </c>
      <c r="G765" s="30">
        <v>100</v>
      </c>
      <c r="H765" s="22"/>
      <c r="I765" s="16"/>
      <c r="J765" s="32"/>
      <c r="K765" s="32"/>
      <c r="L765" s="32"/>
      <c r="M765" s="32"/>
      <c r="N765" s="32"/>
    </row>
    <row r="766" spans="1:14" ht="24" x14ac:dyDescent="0.25">
      <c r="A766" s="28" t="s">
        <v>713</v>
      </c>
      <c r="B766" s="29">
        <v>498000000</v>
      </c>
      <c r="C766" s="28" t="s">
        <v>104</v>
      </c>
      <c r="D766" s="29">
        <f>147280948+343655546</f>
        <v>490936494</v>
      </c>
      <c r="E766" s="29">
        <f>B766-F766</f>
        <v>7063506</v>
      </c>
      <c r="F766" s="29">
        <f>147280948+343655546</f>
        <v>490936494</v>
      </c>
      <c r="G766" s="30">
        <v>100</v>
      </c>
      <c r="H766" s="22"/>
      <c r="I766" s="16"/>
    </row>
    <row r="767" spans="1:14" s="32" customFormat="1" ht="24" x14ac:dyDescent="0.25">
      <c r="A767" s="28" t="s">
        <v>714</v>
      </c>
      <c r="B767" s="29">
        <v>498000000</v>
      </c>
      <c r="C767" s="28" t="s">
        <v>104</v>
      </c>
      <c r="D767" s="29">
        <v>491708000</v>
      </c>
      <c r="E767" s="29">
        <f>B767-F767</f>
        <v>6292000</v>
      </c>
      <c r="F767" s="29">
        <f>147512400+344195600</f>
        <v>491708000</v>
      </c>
      <c r="G767" s="30">
        <v>100</v>
      </c>
      <c r="H767" s="22"/>
      <c r="I767" s="16"/>
    </row>
    <row r="768" spans="1:14" s="32" customFormat="1" ht="24" x14ac:dyDescent="0.25">
      <c r="A768" s="28" t="s">
        <v>715</v>
      </c>
      <c r="B768" s="29">
        <v>676000000</v>
      </c>
      <c r="C768" s="28" t="s">
        <v>104</v>
      </c>
      <c r="D768" s="29">
        <v>666895194</v>
      </c>
      <c r="E768" s="29">
        <f>B768-F768</f>
        <v>9104806</v>
      </c>
      <c r="F768" s="29">
        <v>666895194</v>
      </c>
      <c r="G768" s="30">
        <v>100</v>
      </c>
      <c r="H768" s="22"/>
      <c r="I768" s="16"/>
      <c r="J768" s="4"/>
      <c r="K768" s="4"/>
      <c r="L768" s="4"/>
      <c r="M768" s="4"/>
      <c r="N768" s="4"/>
    </row>
    <row r="769" spans="1:14" s="32" customFormat="1" ht="24" x14ac:dyDescent="0.25">
      <c r="A769" s="28" t="s">
        <v>716</v>
      </c>
      <c r="B769" s="29">
        <v>925000000</v>
      </c>
      <c r="C769" s="28" t="s">
        <v>104</v>
      </c>
      <c r="D769" s="29">
        <v>900723458</v>
      </c>
      <c r="E769" s="29">
        <f>B769-F769</f>
        <v>24276542</v>
      </c>
      <c r="F769" s="29">
        <f>270217037+630506421</f>
        <v>900723458</v>
      </c>
      <c r="G769" s="30">
        <v>100</v>
      </c>
      <c r="H769" s="22"/>
      <c r="I769" s="16"/>
      <c r="J769" s="4"/>
      <c r="K769" s="4"/>
      <c r="L769" s="4"/>
      <c r="M769" s="4"/>
      <c r="N769" s="4"/>
    </row>
    <row r="770" spans="1:14" s="32" customFormat="1" ht="24" x14ac:dyDescent="0.25">
      <c r="A770" s="28" t="s">
        <v>717</v>
      </c>
      <c r="B770" s="29">
        <v>925000000</v>
      </c>
      <c r="C770" s="28" t="s">
        <v>104</v>
      </c>
      <c r="D770" s="29">
        <v>913399000</v>
      </c>
      <c r="E770" s="29">
        <f>B770-F770</f>
        <v>11601000</v>
      </c>
      <c r="F770" s="29">
        <f>274019700+639379300</f>
        <v>913399000</v>
      </c>
      <c r="G770" s="30">
        <v>100</v>
      </c>
      <c r="H770" s="22"/>
      <c r="I770" s="16"/>
    </row>
    <row r="771" spans="1:14" ht="24" x14ac:dyDescent="0.25">
      <c r="A771" s="28" t="s">
        <v>718</v>
      </c>
      <c r="B771" s="29">
        <v>925000000</v>
      </c>
      <c r="C771" s="28" t="s">
        <v>104</v>
      </c>
      <c r="D771" s="29">
        <v>906487119</v>
      </c>
      <c r="E771" s="29">
        <f>B771-F771</f>
        <v>18512881</v>
      </c>
      <c r="F771" s="29">
        <f>271946136+634540983</f>
        <v>906487119</v>
      </c>
      <c r="G771" s="30">
        <v>100</v>
      </c>
      <c r="H771" s="22"/>
      <c r="I771" s="16"/>
      <c r="J771" s="32"/>
      <c r="K771" s="32"/>
      <c r="L771" s="32"/>
      <c r="M771" s="32"/>
      <c r="N771" s="32"/>
    </row>
    <row r="772" spans="1:14" ht="24" x14ac:dyDescent="0.25">
      <c r="A772" s="28" t="s">
        <v>719</v>
      </c>
      <c r="B772" s="29">
        <v>5361000000</v>
      </c>
      <c r="C772" s="28" t="s">
        <v>104</v>
      </c>
      <c r="D772" s="29">
        <v>5301000000</v>
      </c>
      <c r="E772" s="29">
        <f>B772-F772</f>
        <v>60000000</v>
      </c>
      <c r="F772" s="29">
        <v>5301000000</v>
      </c>
      <c r="G772" s="30">
        <v>100</v>
      </c>
      <c r="H772" s="22"/>
      <c r="I772" s="16"/>
      <c r="J772" s="32"/>
      <c r="K772" s="32"/>
      <c r="L772" s="32"/>
      <c r="M772" s="32"/>
      <c r="N772" s="32"/>
    </row>
    <row r="773" spans="1:14" ht="24" x14ac:dyDescent="0.25">
      <c r="A773" s="28" t="s">
        <v>720</v>
      </c>
      <c r="B773" s="29">
        <v>4865000000</v>
      </c>
      <c r="C773" s="28" t="s">
        <v>104</v>
      </c>
      <c r="D773" s="29">
        <v>4804892800</v>
      </c>
      <c r="E773" s="29">
        <f>B773-F773</f>
        <v>60107200</v>
      </c>
      <c r="F773" s="29">
        <v>4804892800</v>
      </c>
      <c r="G773" s="30">
        <v>100</v>
      </c>
      <c r="H773" s="33"/>
      <c r="I773" s="16"/>
      <c r="J773" s="32"/>
      <c r="K773" s="32"/>
      <c r="L773" s="32"/>
      <c r="M773" s="32"/>
      <c r="N773" s="32"/>
    </row>
    <row r="774" spans="1:14" s="32" customFormat="1" ht="24" x14ac:dyDescent="0.25">
      <c r="A774" s="28" t="s">
        <v>721</v>
      </c>
      <c r="B774" s="29">
        <v>498000000</v>
      </c>
      <c r="C774" s="28" t="s">
        <v>104</v>
      </c>
      <c r="D774" s="29">
        <v>494638018</v>
      </c>
      <c r="E774" s="29">
        <f>B774-F774</f>
        <v>3361982</v>
      </c>
      <c r="F774" s="29">
        <v>494638018</v>
      </c>
      <c r="G774" s="30">
        <v>100</v>
      </c>
      <c r="H774" s="22"/>
      <c r="I774" s="16"/>
      <c r="J774" s="4"/>
      <c r="K774" s="4"/>
      <c r="L774" s="4"/>
      <c r="M774" s="4"/>
      <c r="N774" s="4"/>
    </row>
    <row r="775" spans="1:14" ht="24" x14ac:dyDescent="0.25">
      <c r="A775" s="28" t="s">
        <v>722</v>
      </c>
      <c r="B775" s="29">
        <v>4865000000</v>
      </c>
      <c r="C775" s="28" t="s">
        <v>104</v>
      </c>
      <c r="D775" s="29">
        <v>4808106000</v>
      </c>
      <c r="E775" s="29">
        <f>B775-F775</f>
        <v>56894000</v>
      </c>
      <c r="F775" s="29">
        <v>4808106000</v>
      </c>
      <c r="G775" s="30">
        <v>100</v>
      </c>
      <c r="H775" s="33"/>
      <c r="I775" s="16"/>
    </row>
    <row r="776" spans="1:14" ht="24" x14ac:dyDescent="0.25">
      <c r="A776" s="28" t="s">
        <v>723</v>
      </c>
      <c r="B776" s="29">
        <v>4865000000</v>
      </c>
      <c r="C776" s="28" t="s">
        <v>104</v>
      </c>
      <c r="D776" s="29">
        <v>4807508000</v>
      </c>
      <c r="E776" s="29">
        <f>B776-F776</f>
        <v>57492000</v>
      </c>
      <c r="F776" s="29">
        <v>4807508000</v>
      </c>
      <c r="G776" s="30">
        <v>100</v>
      </c>
      <c r="H776" s="33"/>
      <c r="I776" s="16"/>
    </row>
    <row r="777" spans="1:14" s="32" customFormat="1" ht="24" x14ac:dyDescent="0.25">
      <c r="A777" s="28" t="s">
        <v>724</v>
      </c>
      <c r="B777" s="29">
        <v>628000000</v>
      </c>
      <c r="C777" s="28" t="s">
        <v>104</v>
      </c>
      <c r="D777" s="29">
        <v>620439000</v>
      </c>
      <c r="E777" s="29">
        <f>B777-F777</f>
        <v>7561000</v>
      </c>
      <c r="F777" s="29">
        <f>186131700+434307300</f>
        <v>620439000</v>
      </c>
      <c r="G777" s="30">
        <v>100</v>
      </c>
      <c r="H777" s="22"/>
      <c r="I777" s="16"/>
    </row>
    <row r="778" spans="1:14" ht="24" x14ac:dyDescent="0.25">
      <c r="A778" s="28" t="s">
        <v>725</v>
      </c>
      <c r="B778" s="29">
        <v>925000000</v>
      </c>
      <c r="C778" s="28" t="s">
        <v>104</v>
      </c>
      <c r="D778" s="29">
        <v>906080976</v>
      </c>
      <c r="E778" s="29">
        <f>B778-F778</f>
        <v>18919024</v>
      </c>
      <c r="F778" s="29">
        <f>271824293+634256683</f>
        <v>906080976</v>
      </c>
      <c r="G778" s="30">
        <v>100</v>
      </c>
      <c r="H778" s="22"/>
      <c r="I778" s="16"/>
    </row>
    <row r="779" spans="1:14" ht="24" x14ac:dyDescent="0.25">
      <c r="A779" s="28" t="s">
        <v>726</v>
      </c>
      <c r="B779" s="29">
        <v>925000000</v>
      </c>
      <c r="C779" s="28" t="s">
        <v>104</v>
      </c>
      <c r="D779" s="29">
        <v>913518000</v>
      </c>
      <c r="E779" s="29">
        <f>B779-F779</f>
        <v>11482000</v>
      </c>
      <c r="F779" s="29">
        <v>913518000</v>
      </c>
      <c r="G779" s="30">
        <v>100</v>
      </c>
      <c r="H779" s="22"/>
      <c r="I779" s="16"/>
    </row>
    <row r="780" spans="1:14" s="32" customFormat="1" ht="24" x14ac:dyDescent="0.25">
      <c r="A780" s="28" t="s">
        <v>727</v>
      </c>
      <c r="B780" s="29">
        <v>425000000</v>
      </c>
      <c r="C780" s="28" t="s">
        <v>104</v>
      </c>
      <c r="D780" s="29">
        <v>416249000</v>
      </c>
      <c r="E780" s="29">
        <f>B780-F780</f>
        <v>8751000</v>
      </c>
      <c r="F780" s="29">
        <f>124874700+291374300</f>
        <v>416249000</v>
      </c>
      <c r="G780" s="30">
        <v>100</v>
      </c>
      <c r="H780" s="22"/>
      <c r="I780" s="16"/>
    </row>
    <row r="781" spans="1:14" s="32" customFormat="1" ht="24" x14ac:dyDescent="0.25">
      <c r="A781" s="28" t="s">
        <v>728</v>
      </c>
      <c r="B781" s="29">
        <v>925000000</v>
      </c>
      <c r="C781" s="28" t="s">
        <v>104</v>
      </c>
      <c r="D781" s="29">
        <v>901533431</v>
      </c>
      <c r="E781" s="29">
        <f>B781-F781</f>
        <v>23466569</v>
      </c>
      <c r="F781" s="29">
        <f>270460029+631073402</f>
        <v>901533431</v>
      </c>
      <c r="G781" s="30">
        <v>100</v>
      </c>
      <c r="H781" s="22"/>
      <c r="I781" s="16"/>
      <c r="J781" s="4"/>
      <c r="K781" s="4"/>
      <c r="L781" s="4"/>
      <c r="M781" s="4"/>
      <c r="N781" s="4"/>
    </row>
    <row r="782" spans="1:14" s="32" customFormat="1" ht="24" x14ac:dyDescent="0.25">
      <c r="A782" s="28" t="s">
        <v>729</v>
      </c>
      <c r="B782" s="29">
        <v>1625000000</v>
      </c>
      <c r="C782" s="28" t="s">
        <v>104</v>
      </c>
      <c r="D782" s="29">
        <v>1580277352</v>
      </c>
      <c r="E782" s="29">
        <f>B782-F782</f>
        <v>44722648</v>
      </c>
      <c r="F782" s="29">
        <f>474083206+1106194146</f>
        <v>1580277352</v>
      </c>
      <c r="G782" s="30">
        <v>100</v>
      </c>
      <c r="H782" s="22"/>
      <c r="I782" s="16"/>
      <c r="J782" s="4"/>
      <c r="K782" s="4"/>
      <c r="L782" s="4"/>
      <c r="M782" s="4"/>
      <c r="N782" s="4"/>
    </row>
    <row r="783" spans="1:14" ht="24" x14ac:dyDescent="0.25">
      <c r="A783" s="28" t="s">
        <v>730</v>
      </c>
      <c r="B783" s="29">
        <v>1145000000</v>
      </c>
      <c r="C783" s="28" t="s">
        <v>104</v>
      </c>
      <c r="D783" s="29">
        <v>1126584400</v>
      </c>
      <c r="E783" s="29">
        <f>B783-F783</f>
        <v>18415600</v>
      </c>
      <c r="F783" s="29">
        <f>337975320+788609080</f>
        <v>1126584400</v>
      </c>
      <c r="G783" s="30">
        <v>100</v>
      </c>
      <c r="H783" s="22"/>
      <c r="I783" s="16"/>
      <c r="J783" s="32"/>
      <c r="K783" s="32"/>
      <c r="L783" s="32"/>
      <c r="M783" s="32"/>
      <c r="N783" s="32"/>
    </row>
    <row r="784" spans="1:14" ht="24" x14ac:dyDescent="0.25">
      <c r="A784" s="28" t="s">
        <v>731</v>
      </c>
      <c r="B784" s="29">
        <v>1775000000</v>
      </c>
      <c r="C784" s="28" t="s">
        <v>104</v>
      </c>
      <c r="D784" s="29">
        <v>1749189500</v>
      </c>
      <c r="E784" s="29">
        <f>B784-F784</f>
        <v>25810500</v>
      </c>
      <c r="F784" s="29">
        <f>524756850+1224432650</f>
        <v>1749189500</v>
      </c>
      <c r="G784" s="30">
        <v>100</v>
      </c>
      <c r="H784" s="22"/>
      <c r="I784" s="16"/>
      <c r="J784" s="32"/>
      <c r="K784" s="32"/>
      <c r="L784" s="32"/>
      <c r="M784" s="32"/>
      <c r="N784" s="32"/>
    </row>
    <row r="785" spans="1:14" ht="24" x14ac:dyDescent="0.25">
      <c r="A785" s="28" t="s">
        <v>732</v>
      </c>
      <c r="B785" s="29">
        <v>925000000</v>
      </c>
      <c r="C785" s="28" t="s">
        <v>104</v>
      </c>
      <c r="D785" s="29">
        <f>273821700+638917300</f>
        <v>912739000</v>
      </c>
      <c r="E785" s="29">
        <f>B785-F785</f>
        <v>12261000</v>
      </c>
      <c r="F785" s="29">
        <f>273821700+638917300</f>
        <v>912739000</v>
      </c>
      <c r="G785" s="30">
        <v>100</v>
      </c>
      <c r="H785" s="22"/>
      <c r="I785" s="16"/>
      <c r="J785" s="32"/>
      <c r="K785" s="32"/>
      <c r="L785" s="32"/>
      <c r="M785" s="32"/>
      <c r="N785" s="32"/>
    </row>
    <row r="786" spans="1:14" ht="24" x14ac:dyDescent="0.25">
      <c r="A786" s="28" t="s">
        <v>733</v>
      </c>
      <c r="B786" s="29">
        <v>726000000</v>
      </c>
      <c r="C786" s="28" t="s">
        <v>104</v>
      </c>
      <c r="D786" s="29">
        <v>714445369</v>
      </c>
      <c r="E786" s="29">
        <f>B786-F786</f>
        <v>11554631</v>
      </c>
      <c r="F786" s="29">
        <f>214333611+500111758</f>
        <v>714445369</v>
      </c>
      <c r="G786" s="30">
        <v>100</v>
      </c>
      <c r="H786" s="22"/>
      <c r="I786" s="16"/>
    </row>
    <row r="787" spans="1:14" ht="24" x14ac:dyDescent="0.25">
      <c r="A787" s="28" t="s">
        <v>734</v>
      </c>
      <c r="B787" s="29">
        <v>1223000000</v>
      </c>
      <c r="C787" s="28" t="s">
        <v>104</v>
      </c>
      <c r="D787" s="29" t="s">
        <v>735</v>
      </c>
      <c r="E787" s="29">
        <f>B787-F787</f>
        <v>2100617</v>
      </c>
      <c r="F787" s="29">
        <f>366269815+854629568</f>
        <v>1220899383</v>
      </c>
      <c r="G787" s="30">
        <v>100</v>
      </c>
      <c r="H787" s="22"/>
      <c r="I787" s="16"/>
    </row>
    <row r="788" spans="1:14" ht="24" x14ac:dyDescent="0.25">
      <c r="A788" s="28" t="s">
        <v>736</v>
      </c>
      <c r="B788" s="29">
        <v>60000000</v>
      </c>
      <c r="C788" s="28" t="s">
        <v>111</v>
      </c>
      <c r="D788" s="29">
        <v>59446000</v>
      </c>
      <c r="E788" s="29">
        <f>B788-F788</f>
        <v>554000</v>
      </c>
      <c r="F788" s="29">
        <v>59446000</v>
      </c>
      <c r="G788" s="30">
        <v>100</v>
      </c>
      <c r="H788" s="22"/>
      <c r="I788" s="16"/>
    </row>
    <row r="789" spans="1:14" ht="24" x14ac:dyDescent="0.25">
      <c r="A789" s="28" t="s">
        <v>737</v>
      </c>
      <c r="B789" s="29">
        <v>20000000</v>
      </c>
      <c r="C789" s="28" t="s">
        <v>111</v>
      </c>
      <c r="D789" s="29">
        <v>19108650</v>
      </c>
      <c r="E789" s="29">
        <f>B789-F789</f>
        <v>891350</v>
      </c>
      <c r="F789" s="29">
        <v>19108650</v>
      </c>
      <c r="G789" s="30">
        <v>100</v>
      </c>
      <c r="H789" s="22"/>
      <c r="I789" s="16"/>
    </row>
    <row r="790" spans="1:14" ht="24" x14ac:dyDescent="0.25">
      <c r="A790" s="28" t="s">
        <v>738</v>
      </c>
      <c r="B790" s="29">
        <v>20000000</v>
      </c>
      <c r="C790" s="28" t="s">
        <v>111</v>
      </c>
      <c r="D790" s="29">
        <v>19691000</v>
      </c>
      <c r="E790" s="29">
        <f>B790-F790</f>
        <v>309000</v>
      </c>
      <c r="F790" s="29">
        <v>19691000</v>
      </c>
      <c r="G790" s="30">
        <v>100</v>
      </c>
      <c r="H790" s="22"/>
      <c r="I790" s="16"/>
    </row>
    <row r="791" spans="1:14" ht="24" x14ac:dyDescent="0.25">
      <c r="A791" s="28" t="s">
        <v>739</v>
      </c>
      <c r="B791" s="29">
        <v>20000000</v>
      </c>
      <c r="C791" s="28" t="s">
        <v>111</v>
      </c>
      <c r="D791" s="29">
        <v>19802000</v>
      </c>
      <c r="E791" s="29">
        <f>B791-F791</f>
        <v>198000</v>
      </c>
      <c r="F791" s="29">
        <v>19802000</v>
      </c>
      <c r="G791" s="30">
        <v>100</v>
      </c>
      <c r="H791" s="22"/>
      <c r="I791" s="16"/>
    </row>
    <row r="792" spans="1:14" ht="24" x14ac:dyDescent="0.25">
      <c r="A792" s="28" t="s">
        <v>740</v>
      </c>
      <c r="B792" s="29">
        <v>20000000</v>
      </c>
      <c r="C792" s="28" t="s">
        <v>111</v>
      </c>
      <c r="D792" s="29">
        <v>19147500</v>
      </c>
      <c r="E792" s="29">
        <f>B792-F792</f>
        <v>852500</v>
      </c>
      <c r="F792" s="29">
        <v>19147500</v>
      </c>
      <c r="G792" s="30">
        <v>100</v>
      </c>
      <c r="H792" s="22"/>
      <c r="I792" s="16"/>
    </row>
    <row r="793" spans="1:14" ht="24" x14ac:dyDescent="0.25">
      <c r="A793" s="28" t="s">
        <v>741</v>
      </c>
      <c r="B793" s="29">
        <v>20000000</v>
      </c>
      <c r="C793" s="28" t="s">
        <v>111</v>
      </c>
      <c r="D793" s="29">
        <v>19850000</v>
      </c>
      <c r="E793" s="29">
        <f>B793-F793</f>
        <v>150000</v>
      </c>
      <c r="F793" s="29">
        <v>19850000</v>
      </c>
      <c r="G793" s="30">
        <v>100</v>
      </c>
      <c r="H793" s="22"/>
      <c r="I793" s="16"/>
    </row>
    <row r="794" spans="1:14" ht="24" x14ac:dyDescent="0.25">
      <c r="A794" s="28" t="s">
        <v>742</v>
      </c>
      <c r="B794" s="29">
        <v>20000000</v>
      </c>
      <c r="C794" s="28" t="s">
        <v>111</v>
      </c>
      <c r="D794" s="29">
        <v>19700000</v>
      </c>
      <c r="E794" s="29">
        <f>B794-F794</f>
        <v>300000</v>
      </c>
      <c r="F794" s="29">
        <v>19700000</v>
      </c>
      <c r="G794" s="30">
        <v>100</v>
      </c>
      <c r="H794" s="22"/>
      <c r="I794" s="16"/>
    </row>
    <row r="795" spans="1:14" ht="24" x14ac:dyDescent="0.25">
      <c r="A795" s="28" t="s">
        <v>743</v>
      </c>
      <c r="B795" s="29">
        <v>20000000</v>
      </c>
      <c r="C795" s="28" t="s">
        <v>111</v>
      </c>
      <c r="D795" s="29">
        <v>18992000</v>
      </c>
      <c r="E795" s="29">
        <f>B795-F795</f>
        <v>1008000</v>
      </c>
      <c r="F795" s="29">
        <v>18992000</v>
      </c>
      <c r="G795" s="30">
        <v>100</v>
      </c>
      <c r="H795" s="22"/>
      <c r="I795" s="16"/>
    </row>
    <row r="796" spans="1:14" ht="24" x14ac:dyDescent="0.25">
      <c r="A796" s="28" t="s">
        <v>744</v>
      </c>
      <c r="B796" s="29">
        <v>20000000</v>
      </c>
      <c r="C796" s="28" t="s">
        <v>111</v>
      </c>
      <c r="D796" s="29">
        <v>18648000</v>
      </c>
      <c r="E796" s="29">
        <f>B796-F796</f>
        <v>1352000</v>
      </c>
      <c r="F796" s="29">
        <v>18648000</v>
      </c>
      <c r="G796" s="30">
        <v>100</v>
      </c>
      <c r="H796" s="22"/>
      <c r="I796" s="16"/>
    </row>
    <row r="797" spans="1:14" ht="24" x14ac:dyDescent="0.25">
      <c r="A797" s="28" t="s">
        <v>745</v>
      </c>
      <c r="B797" s="29">
        <v>20000000</v>
      </c>
      <c r="C797" s="28" t="s">
        <v>111</v>
      </c>
      <c r="D797" s="29">
        <v>19674750</v>
      </c>
      <c r="E797" s="29">
        <f>B797-F797</f>
        <v>325250</v>
      </c>
      <c r="F797" s="29">
        <v>19674750</v>
      </c>
      <c r="G797" s="30">
        <v>100</v>
      </c>
      <c r="H797" s="22"/>
      <c r="I797" s="16"/>
    </row>
    <row r="798" spans="1:14" ht="24" x14ac:dyDescent="0.25">
      <c r="A798" s="28" t="s">
        <v>746</v>
      </c>
      <c r="B798" s="29">
        <v>35000000</v>
      </c>
      <c r="C798" s="28" t="s">
        <v>111</v>
      </c>
      <c r="D798" s="29">
        <v>33222300</v>
      </c>
      <c r="E798" s="29">
        <f>B798-F798</f>
        <v>1777700</v>
      </c>
      <c r="F798" s="29">
        <v>33222300</v>
      </c>
      <c r="G798" s="30">
        <v>100</v>
      </c>
      <c r="H798" s="22"/>
      <c r="I798" s="16"/>
    </row>
    <row r="799" spans="1:14" ht="24" x14ac:dyDescent="0.25">
      <c r="A799" s="28" t="s">
        <v>747</v>
      </c>
      <c r="B799" s="29">
        <v>20000000</v>
      </c>
      <c r="C799" s="28" t="s">
        <v>111</v>
      </c>
      <c r="D799" s="29">
        <v>19508250</v>
      </c>
      <c r="E799" s="29">
        <f>B799-F799</f>
        <v>491750</v>
      </c>
      <c r="F799" s="29">
        <v>19508250</v>
      </c>
      <c r="G799" s="30">
        <v>100</v>
      </c>
      <c r="H799" s="22"/>
      <c r="I799" s="16"/>
    </row>
    <row r="800" spans="1:14" ht="24" x14ac:dyDescent="0.25">
      <c r="A800" s="28" t="s">
        <v>748</v>
      </c>
      <c r="B800" s="29">
        <v>20000000</v>
      </c>
      <c r="C800" s="28" t="s">
        <v>111</v>
      </c>
      <c r="D800" s="29">
        <v>19563750</v>
      </c>
      <c r="E800" s="29">
        <f>B800-F800</f>
        <v>436250</v>
      </c>
      <c r="F800" s="29">
        <v>19563750</v>
      </c>
      <c r="G800" s="30">
        <v>100</v>
      </c>
      <c r="H800" s="22"/>
      <c r="I800" s="16"/>
    </row>
    <row r="801" spans="1:14" ht="24" x14ac:dyDescent="0.25">
      <c r="A801" s="28" t="s">
        <v>749</v>
      </c>
      <c r="B801" s="29">
        <v>20000000</v>
      </c>
      <c r="C801" s="28" t="s">
        <v>111</v>
      </c>
      <c r="D801" s="29">
        <v>19691000</v>
      </c>
      <c r="E801" s="29">
        <f>B801-F801</f>
        <v>309000</v>
      </c>
      <c r="F801" s="29">
        <v>19691000</v>
      </c>
      <c r="G801" s="30">
        <v>100</v>
      </c>
      <c r="H801" s="22"/>
      <c r="I801" s="16"/>
    </row>
    <row r="802" spans="1:14" s="32" customFormat="1" ht="24" x14ac:dyDescent="0.25">
      <c r="A802" s="28" t="s">
        <v>750</v>
      </c>
      <c r="B802" s="29">
        <v>20000000</v>
      </c>
      <c r="C802" s="28" t="s">
        <v>111</v>
      </c>
      <c r="D802" s="29">
        <v>19508250</v>
      </c>
      <c r="E802" s="29">
        <f>B802-F802</f>
        <v>491750</v>
      </c>
      <c r="F802" s="29">
        <v>19508250</v>
      </c>
      <c r="G802" s="30">
        <v>100</v>
      </c>
      <c r="H802" s="22"/>
      <c r="I802" s="16"/>
      <c r="J802" s="4"/>
      <c r="K802" s="4"/>
      <c r="L802" s="4"/>
      <c r="M802" s="4"/>
      <c r="N802" s="4"/>
    </row>
    <row r="803" spans="1:14" s="32" customFormat="1" ht="24" x14ac:dyDescent="0.25">
      <c r="A803" s="28" t="s">
        <v>751</v>
      </c>
      <c r="B803" s="29">
        <v>20000000</v>
      </c>
      <c r="C803" s="28" t="s">
        <v>111</v>
      </c>
      <c r="D803" s="29">
        <v>19563750</v>
      </c>
      <c r="E803" s="29">
        <f>B803-F803</f>
        <v>436250</v>
      </c>
      <c r="F803" s="29">
        <v>19563750</v>
      </c>
      <c r="G803" s="30">
        <v>100</v>
      </c>
      <c r="H803" s="22"/>
      <c r="I803" s="16"/>
      <c r="J803" s="4"/>
      <c r="K803" s="4"/>
      <c r="L803" s="4"/>
      <c r="M803" s="4"/>
      <c r="N803" s="4"/>
    </row>
    <row r="804" spans="1:14" s="32" customFormat="1" ht="24" x14ac:dyDescent="0.25">
      <c r="A804" s="28" t="s">
        <v>752</v>
      </c>
      <c r="B804" s="29">
        <v>20000000</v>
      </c>
      <c r="C804" s="28" t="s">
        <v>111</v>
      </c>
      <c r="D804" s="29">
        <v>19425000</v>
      </c>
      <c r="E804" s="29">
        <f>B804-F804</f>
        <v>575000</v>
      </c>
      <c r="F804" s="29">
        <v>19425000</v>
      </c>
      <c r="G804" s="30">
        <v>100</v>
      </c>
      <c r="H804" s="22"/>
      <c r="I804" s="16"/>
      <c r="J804" s="4"/>
      <c r="K804" s="4"/>
      <c r="L804" s="4"/>
      <c r="M804" s="4"/>
      <c r="N804" s="4"/>
    </row>
    <row r="805" spans="1:14" s="32" customFormat="1" ht="24" x14ac:dyDescent="0.25">
      <c r="A805" s="28" t="s">
        <v>753</v>
      </c>
      <c r="B805" s="29">
        <v>25000000</v>
      </c>
      <c r="C805" s="28" t="s">
        <v>111</v>
      </c>
      <c r="D805" s="29">
        <v>24442200</v>
      </c>
      <c r="E805" s="29">
        <f>B805-F805</f>
        <v>557800</v>
      </c>
      <c r="F805" s="29">
        <v>24442200</v>
      </c>
      <c r="G805" s="30">
        <v>100</v>
      </c>
      <c r="H805" s="22"/>
      <c r="I805" s="16"/>
    </row>
    <row r="806" spans="1:14" s="32" customFormat="1" ht="24" x14ac:dyDescent="0.25">
      <c r="A806" s="28" t="s">
        <v>754</v>
      </c>
      <c r="B806" s="29">
        <v>15000000</v>
      </c>
      <c r="C806" s="28" t="s">
        <v>111</v>
      </c>
      <c r="D806" s="29">
        <v>14735250</v>
      </c>
      <c r="E806" s="29">
        <f>B806-F806</f>
        <v>264750</v>
      </c>
      <c r="F806" s="29">
        <v>14735250</v>
      </c>
      <c r="G806" s="30">
        <v>100</v>
      </c>
      <c r="H806" s="22"/>
      <c r="I806" s="16"/>
    </row>
    <row r="807" spans="1:14" s="32" customFormat="1" ht="24" x14ac:dyDescent="0.25">
      <c r="A807" s="28" t="s">
        <v>755</v>
      </c>
      <c r="B807" s="29">
        <v>15000000</v>
      </c>
      <c r="C807" s="28" t="s">
        <v>111</v>
      </c>
      <c r="D807" s="29">
        <v>14751000</v>
      </c>
      <c r="E807" s="29">
        <f>B807-F807</f>
        <v>249000</v>
      </c>
      <c r="F807" s="29">
        <v>14751000</v>
      </c>
      <c r="G807" s="30">
        <v>100</v>
      </c>
      <c r="H807" s="22"/>
      <c r="I807" s="16"/>
    </row>
    <row r="808" spans="1:14" s="32" customFormat="1" ht="24" x14ac:dyDescent="0.25">
      <c r="A808" s="28" t="s">
        <v>756</v>
      </c>
      <c r="B808" s="29">
        <v>15000000</v>
      </c>
      <c r="C808" s="28" t="s">
        <v>111</v>
      </c>
      <c r="D808" s="29">
        <v>14629000</v>
      </c>
      <c r="E808" s="29">
        <f>B808-F808</f>
        <v>371000</v>
      </c>
      <c r="F808" s="29">
        <v>14629000</v>
      </c>
      <c r="G808" s="30">
        <v>100</v>
      </c>
      <c r="H808" s="22"/>
      <c r="I808" s="16"/>
    </row>
    <row r="809" spans="1:14" s="32" customFormat="1" ht="24" x14ac:dyDescent="0.25">
      <c r="A809" s="28" t="s">
        <v>757</v>
      </c>
      <c r="B809" s="29">
        <v>15000000</v>
      </c>
      <c r="C809" s="28" t="s">
        <v>111</v>
      </c>
      <c r="D809" s="29">
        <v>14652000</v>
      </c>
      <c r="E809" s="29">
        <f>B809-F809</f>
        <v>348000</v>
      </c>
      <c r="F809" s="29">
        <v>14652000</v>
      </c>
      <c r="G809" s="30">
        <v>100</v>
      </c>
      <c r="H809" s="22"/>
      <c r="I809" s="16"/>
    </row>
    <row r="810" spans="1:14" s="32" customFormat="1" ht="24" x14ac:dyDescent="0.25">
      <c r="A810" s="28" t="s">
        <v>758</v>
      </c>
      <c r="B810" s="29">
        <v>15000000</v>
      </c>
      <c r="C810" s="28" t="s">
        <v>111</v>
      </c>
      <c r="D810" s="29">
        <v>14650000</v>
      </c>
      <c r="E810" s="29">
        <f>B810-F810</f>
        <v>350000</v>
      </c>
      <c r="F810" s="29">
        <v>14650000</v>
      </c>
      <c r="G810" s="30">
        <v>100</v>
      </c>
      <c r="H810" s="22"/>
      <c r="I810" s="16"/>
    </row>
    <row r="811" spans="1:14" s="32" customFormat="1" ht="24" x14ac:dyDescent="0.25">
      <c r="A811" s="28" t="s">
        <v>759</v>
      </c>
      <c r="B811" s="29">
        <v>15000000</v>
      </c>
      <c r="C811" s="28" t="s">
        <v>111</v>
      </c>
      <c r="D811" s="29">
        <v>14650000</v>
      </c>
      <c r="E811" s="29">
        <f>B811-F811</f>
        <v>350000</v>
      </c>
      <c r="F811" s="29">
        <v>14650000</v>
      </c>
      <c r="G811" s="30">
        <v>100</v>
      </c>
      <c r="H811" s="22"/>
      <c r="I811" s="16"/>
    </row>
    <row r="812" spans="1:14" s="32" customFormat="1" ht="24" x14ac:dyDescent="0.25">
      <c r="A812" s="28" t="s">
        <v>760</v>
      </c>
      <c r="B812" s="29">
        <v>15000000</v>
      </c>
      <c r="C812" s="28" t="s">
        <v>111</v>
      </c>
      <c r="D812" s="29">
        <v>14618000</v>
      </c>
      <c r="E812" s="29">
        <f>B812-F812</f>
        <v>382000</v>
      </c>
      <c r="F812" s="29">
        <v>14618000</v>
      </c>
      <c r="G812" s="30">
        <v>100</v>
      </c>
      <c r="H812" s="22"/>
      <c r="I812" s="16"/>
    </row>
    <row r="813" spans="1:14" s="32" customFormat="1" ht="24" x14ac:dyDescent="0.25">
      <c r="A813" s="28" t="s">
        <v>761</v>
      </c>
      <c r="B813" s="29">
        <v>15000000</v>
      </c>
      <c r="C813" s="28" t="s">
        <v>111</v>
      </c>
      <c r="D813" s="29">
        <v>14763000</v>
      </c>
      <c r="E813" s="29">
        <f>B813-F813</f>
        <v>237000</v>
      </c>
      <c r="F813" s="29">
        <v>14763000</v>
      </c>
      <c r="G813" s="30">
        <v>100</v>
      </c>
      <c r="H813" s="22"/>
      <c r="I813" s="16"/>
    </row>
    <row r="814" spans="1:14" s="32" customFormat="1" ht="24" x14ac:dyDescent="0.25">
      <c r="A814" s="28" t="s">
        <v>762</v>
      </c>
      <c r="B814" s="29">
        <v>15000000</v>
      </c>
      <c r="C814" s="28" t="s">
        <v>111</v>
      </c>
      <c r="D814" s="29">
        <v>14767440</v>
      </c>
      <c r="E814" s="29">
        <f>B814-F814</f>
        <v>232560</v>
      </c>
      <c r="F814" s="29">
        <v>14767440</v>
      </c>
      <c r="G814" s="30">
        <v>100</v>
      </c>
      <c r="H814" s="22"/>
      <c r="I814" s="16"/>
    </row>
    <row r="815" spans="1:14" s="32" customFormat="1" ht="24" x14ac:dyDescent="0.25">
      <c r="A815" s="28" t="s">
        <v>763</v>
      </c>
      <c r="B815" s="29">
        <v>15000000</v>
      </c>
      <c r="C815" s="28" t="s">
        <v>111</v>
      </c>
      <c r="D815" s="29">
        <v>14735000</v>
      </c>
      <c r="E815" s="29">
        <f>B815-F815</f>
        <v>265000</v>
      </c>
      <c r="F815" s="29">
        <v>14735000</v>
      </c>
      <c r="G815" s="30">
        <v>100</v>
      </c>
      <c r="H815" s="22"/>
      <c r="I815" s="16"/>
    </row>
    <row r="816" spans="1:14" s="32" customFormat="1" ht="24" x14ac:dyDescent="0.25">
      <c r="A816" s="28" t="s">
        <v>764</v>
      </c>
      <c r="B816" s="29">
        <v>15000000</v>
      </c>
      <c r="C816" s="28" t="s">
        <v>111</v>
      </c>
      <c r="D816" s="29">
        <v>14652000</v>
      </c>
      <c r="E816" s="29">
        <f>B816-F816</f>
        <v>348000</v>
      </c>
      <c r="F816" s="29">
        <v>14652000</v>
      </c>
      <c r="G816" s="30">
        <v>100</v>
      </c>
      <c r="H816" s="22"/>
      <c r="I816" s="16"/>
    </row>
    <row r="817" spans="1:14" s="32" customFormat="1" ht="24" x14ac:dyDescent="0.25">
      <c r="A817" s="28" t="s">
        <v>765</v>
      </c>
      <c r="B817" s="29">
        <v>15000000</v>
      </c>
      <c r="C817" s="28" t="s">
        <v>111</v>
      </c>
      <c r="D817" s="29">
        <v>14790000</v>
      </c>
      <c r="E817" s="29">
        <f>B817-F817</f>
        <v>210000</v>
      </c>
      <c r="F817" s="29">
        <v>14790000</v>
      </c>
      <c r="G817" s="30">
        <v>100</v>
      </c>
      <c r="H817" s="22"/>
      <c r="I817" s="16"/>
    </row>
    <row r="818" spans="1:14" ht="24" x14ac:dyDescent="0.25">
      <c r="A818" s="28" t="s">
        <v>766</v>
      </c>
      <c r="B818" s="29">
        <v>15000000</v>
      </c>
      <c r="C818" s="28" t="s">
        <v>111</v>
      </c>
      <c r="D818" s="29">
        <v>14763000</v>
      </c>
      <c r="E818" s="29">
        <f>B818-F818</f>
        <v>237000</v>
      </c>
      <c r="F818" s="29">
        <v>14763000</v>
      </c>
      <c r="G818" s="30">
        <v>100</v>
      </c>
      <c r="H818" s="22"/>
      <c r="I818" s="16"/>
      <c r="J818" s="32"/>
      <c r="K818" s="32"/>
      <c r="L818" s="32"/>
      <c r="M818" s="32"/>
      <c r="N818" s="32"/>
    </row>
    <row r="819" spans="1:14" ht="24" x14ac:dyDescent="0.25">
      <c r="A819" s="28" t="s">
        <v>767</v>
      </c>
      <c r="B819" s="29">
        <v>15000000</v>
      </c>
      <c r="C819" s="28" t="s">
        <v>111</v>
      </c>
      <c r="D819" s="29">
        <v>14763000</v>
      </c>
      <c r="E819" s="29">
        <f>B819-F819</f>
        <v>237000</v>
      </c>
      <c r="F819" s="29">
        <v>14763000</v>
      </c>
      <c r="G819" s="30">
        <v>100</v>
      </c>
      <c r="H819" s="22"/>
      <c r="I819" s="16"/>
      <c r="J819" s="32"/>
      <c r="K819" s="32"/>
      <c r="L819" s="32"/>
      <c r="M819" s="32"/>
      <c r="N819" s="32"/>
    </row>
    <row r="820" spans="1:14" ht="24" x14ac:dyDescent="0.25">
      <c r="A820" s="28" t="s">
        <v>768</v>
      </c>
      <c r="B820" s="29">
        <v>15000000</v>
      </c>
      <c r="C820" s="28" t="s">
        <v>111</v>
      </c>
      <c r="D820" s="29">
        <v>14685300</v>
      </c>
      <c r="E820" s="29">
        <f>B820-F820</f>
        <v>314700</v>
      </c>
      <c r="F820" s="29">
        <v>14685300</v>
      </c>
      <c r="G820" s="30">
        <v>100</v>
      </c>
      <c r="H820" s="22"/>
      <c r="I820" s="16"/>
      <c r="J820" s="32"/>
      <c r="K820" s="32"/>
      <c r="L820" s="32"/>
      <c r="M820" s="32"/>
      <c r="N820" s="32"/>
    </row>
    <row r="821" spans="1:14" ht="24" x14ac:dyDescent="0.25">
      <c r="A821" s="28" t="s">
        <v>769</v>
      </c>
      <c r="B821" s="29">
        <v>0</v>
      </c>
      <c r="C821" s="28" t="s">
        <v>111</v>
      </c>
      <c r="D821" s="29">
        <v>0</v>
      </c>
      <c r="E821" s="29">
        <f>B821-F821</f>
        <v>0</v>
      </c>
      <c r="F821" s="29">
        <v>0</v>
      </c>
      <c r="G821" s="30">
        <v>0</v>
      </c>
      <c r="H821" s="22"/>
      <c r="I821" s="16"/>
    </row>
    <row r="822" spans="1:14" ht="24" x14ac:dyDescent="0.25">
      <c r="A822" s="28" t="s">
        <v>770</v>
      </c>
      <c r="B822" s="29">
        <v>40000000</v>
      </c>
      <c r="C822" s="28" t="s">
        <v>111</v>
      </c>
      <c r="D822" s="29">
        <v>39074000</v>
      </c>
      <c r="E822" s="29">
        <f>B822-F822</f>
        <v>926000</v>
      </c>
      <c r="F822" s="29">
        <v>39074000</v>
      </c>
      <c r="G822" s="30">
        <v>100</v>
      </c>
      <c r="H822" s="22"/>
      <c r="I822" s="16"/>
    </row>
    <row r="823" spans="1:14" ht="24" x14ac:dyDescent="0.25">
      <c r="A823" s="28" t="s">
        <v>771</v>
      </c>
      <c r="B823" s="29">
        <v>40000000</v>
      </c>
      <c r="C823" s="28" t="s">
        <v>111</v>
      </c>
      <c r="D823" s="29">
        <v>38809000</v>
      </c>
      <c r="E823" s="29">
        <f>B823-F823</f>
        <v>1191000</v>
      </c>
      <c r="F823" s="29">
        <v>38809000</v>
      </c>
      <c r="G823" s="30">
        <v>100</v>
      </c>
      <c r="H823" s="22"/>
      <c r="I823" s="16"/>
    </row>
    <row r="824" spans="1:14" ht="24" x14ac:dyDescent="0.25">
      <c r="A824" s="28" t="s">
        <v>772</v>
      </c>
      <c r="B824" s="29">
        <v>40000000</v>
      </c>
      <c r="C824" s="28" t="s">
        <v>111</v>
      </c>
      <c r="D824" s="29">
        <v>38798000</v>
      </c>
      <c r="E824" s="29">
        <f>B824-F824</f>
        <v>1202000</v>
      </c>
      <c r="F824" s="29">
        <v>38798000</v>
      </c>
      <c r="G824" s="30">
        <v>100</v>
      </c>
      <c r="H824" s="22"/>
      <c r="I824" s="16"/>
    </row>
    <row r="825" spans="1:14" ht="24" x14ac:dyDescent="0.25">
      <c r="A825" s="28" t="s">
        <v>773</v>
      </c>
      <c r="B825" s="29">
        <v>40000000</v>
      </c>
      <c r="C825" s="28" t="s">
        <v>111</v>
      </c>
      <c r="D825" s="29">
        <v>39177000</v>
      </c>
      <c r="E825" s="29">
        <f>B825-F825</f>
        <v>823000</v>
      </c>
      <c r="F825" s="29">
        <v>39177000</v>
      </c>
      <c r="G825" s="30">
        <v>100</v>
      </c>
      <c r="H825" s="22"/>
      <c r="I825" s="16"/>
    </row>
    <row r="826" spans="1:14" ht="24" x14ac:dyDescent="0.25">
      <c r="A826" s="28" t="s">
        <v>774</v>
      </c>
      <c r="B826" s="29">
        <v>40000000</v>
      </c>
      <c r="C826" s="28" t="s">
        <v>111</v>
      </c>
      <c r="D826" s="29">
        <v>38682000</v>
      </c>
      <c r="E826" s="29">
        <f>B826-F826</f>
        <v>1318000</v>
      </c>
      <c r="F826" s="29">
        <v>38682000</v>
      </c>
      <c r="G826" s="30">
        <v>100</v>
      </c>
      <c r="H826" s="22"/>
      <c r="I826" s="16"/>
    </row>
    <row r="827" spans="1:14" ht="24" x14ac:dyDescent="0.25">
      <c r="A827" s="28" t="s">
        <v>775</v>
      </c>
      <c r="B827" s="29">
        <v>55000000</v>
      </c>
      <c r="C827" s="28" t="s">
        <v>111</v>
      </c>
      <c r="D827" s="38">
        <v>53652000</v>
      </c>
      <c r="E827" s="29">
        <f>B827-F827</f>
        <v>1348000</v>
      </c>
      <c r="F827" s="38">
        <v>53652000</v>
      </c>
      <c r="G827" s="30">
        <v>100</v>
      </c>
      <c r="H827" s="22"/>
      <c r="I827" s="16"/>
    </row>
    <row r="828" spans="1:14" ht="24" x14ac:dyDescent="0.25">
      <c r="A828" s="28" t="s">
        <v>776</v>
      </c>
      <c r="B828" s="29">
        <v>195000000</v>
      </c>
      <c r="C828" s="28" t="s">
        <v>104</v>
      </c>
      <c r="D828" s="29">
        <v>191778000</v>
      </c>
      <c r="E828" s="29">
        <f>B828-F828</f>
        <v>3222000</v>
      </c>
      <c r="F828" s="29">
        <v>191778000</v>
      </c>
      <c r="G828" s="30">
        <v>100</v>
      </c>
      <c r="H828" s="22"/>
      <c r="I828" s="16"/>
    </row>
    <row r="829" spans="1:14" ht="24" x14ac:dyDescent="0.25">
      <c r="A829" s="28" t="s">
        <v>777</v>
      </c>
      <c r="B829" s="29">
        <v>195000000</v>
      </c>
      <c r="C829" s="28" t="s">
        <v>104</v>
      </c>
      <c r="D829" s="29">
        <v>191114000</v>
      </c>
      <c r="E829" s="29">
        <f>B829-F829</f>
        <v>3886000</v>
      </c>
      <c r="F829" s="29">
        <v>191114000</v>
      </c>
      <c r="G829" s="30">
        <v>100</v>
      </c>
      <c r="H829" s="22"/>
      <c r="I829" s="16"/>
    </row>
    <row r="830" spans="1:14" ht="24" x14ac:dyDescent="0.25">
      <c r="A830" s="28" t="s">
        <v>778</v>
      </c>
      <c r="B830" s="29">
        <v>195000000</v>
      </c>
      <c r="C830" s="28" t="s">
        <v>104</v>
      </c>
      <c r="D830" s="29">
        <v>191729000</v>
      </c>
      <c r="E830" s="29">
        <f>B830-F830</f>
        <v>3271000</v>
      </c>
      <c r="F830" s="29">
        <v>191729000</v>
      </c>
      <c r="G830" s="30">
        <v>100</v>
      </c>
      <c r="H830" s="22"/>
      <c r="I830" s="16"/>
    </row>
    <row r="831" spans="1:14" ht="24" x14ac:dyDescent="0.25">
      <c r="A831" s="28" t="s">
        <v>779</v>
      </c>
      <c r="B831" s="29">
        <v>195000000</v>
      </c>
      <c r="C831" s="28" t="s">
        <v>104</v>
      </c>
      <c r="D831" s="29">
        <v>192121000</v>
      </c>
      <c r="E831" s="29">
        <f>B831-F831</f>
        <v>2879000</v>
      </c>
      <c r="F831" s="29">
        <v>192121000</v>
      </c>
      <c r="G831" s="30">
        <v>100</v>
      </c>
      <c r="H831" s="22"/>
      <c r="I831" s="16"/>
    </row>
    <row r="832" spans="1:14" ht="24" x14ac:dyDescent="0.25">
      <c r="A832" s="28" t="s">
        <v>780</v>
      </c>
      <c r="B832" s="29">
        <v>195000000</v>
      </c>
      <c r="C832" s="28" t="s">
        <v>104</v>
      </c>
      <c r="D832" s="29">
        <v>192175000</v>
      </c>
      <c r="E832" s="29">
        <f>B832-F832</f>
        <v>2825000</v>
      </c>
      <c r="F832" s="29">
        <v>192175000</v>
      </c>
      <c r="G832" s="30">
        <v>100</v>
      </c>
      <c r="H832" s="22"/>
      <c r="I832" s="16"/>
    </row>
    <row r="833" spans="1:14" ht="24" x14ac:dyDescent="0.25">
      <c r="A833" s="28" t="s">
        <v>781</v>
      </c>
      <c r="B833" s="29">
        <v>195000000</v>
      </c>
      <c r="C833" s="28" t="s">
        <v>104</v>
      </c>
      <c r="D833" s="29">
        <v>192121000</v>
      </c>
      <c r="E833" s="29">
        <f>B833-F833</f>
        <v>2879000</v>
      </c>
      <c r="F833" s="29">
        <v>192121000</v>
      </c>
      <c r="G833" s="30">
        <v>100</v>
      </c>
      <c r="H833" s="22"/>
      <c r="I833" s="16"/>
    </row>
    <row r="834" spans="1:14" ht="24" x14ac:dyDescent="0.25">
      <c r="A834" s="28" t="s">
        <v>782</v>
      </c>
      <c r="B834" s="29">
        <v>195000000</v>
      </c>
      <c r="C834" s="28" t="s">
        <v>104</v>
      </c>
      <c r="D834" s="29">
        <v>192150000</v>
      </c>
      <c r="E834" s="29">
        <f>B834-F834</f>
        <v>2850000</v>
      </c>
      <c r="F834" s="29">
        <v>192150000</v>
      </c>
      <c r="G834" s="30">
        <v>100</v>
      </c>
      <c r="H834" s="22"/>
      <c r="I834" s="16"/>
    </row>
    <row r="835" spans="1:14" ht="24" x14ac:dyDescent="0.25">
      <c r="A835" s="28" t="s">
        <v>783</v>
      </c>
      <c r="B835" s="29">
        <v>195000000</v>
      </c>
      <c r="C835" s="28" t="s">
        <v>104</v>
      </c>
      <c r="D835" s="29">
        <v>192247000</v>
      </c>
      <c r="E835" s="29">
        <f>B835-F835</f>
        <v>2753000</v>
      </c>
      <c r="F835" s="29">
        <v>192247000</v>
      </c>
      <c r="G835" s="30">
        <v>100</v>
      </c>
      <c r="H835" s="22"/>
      <c r="I835" s="16"/>
    </row>
    <row r="836" spans="1:14" ht="24" x14ac:dyDescent="0.25">
      <c r="A836" s="28" t="s">
        <v>784</v>
      </c>
      <c r="B836" s="29">
        <v>195000000</v>
      </c>
      <c r="C836" s="28" t="s">
        <v>104</v>
      </c>
      <c r="D836" s="29">
        <v>191931000</v>
      </c>
      <c r="E836" s="29">
        <f>B836-F836</f>
        <v>3069000</v>
      </c>
      <c r="F836" s="29">
        <v>191931000</v>
      </c>
      <c r="G836" s="30">
        <v>100</v>
      </c>
      <c r="H836" s="22"/>
      <c r="I836" s="16"/>
    </row>
    <row r="837" spans="1:14" ht="24" x14ac:dyDescent="0.25">
      <c r="A837" s="28" t="s">
        <v>785</v>
      </c>
      <c r="B837" s="29">
        <v>195000000</v>
      </c>
      <c r="C837" s="28" t="s">
        <v>104</v>
      </c>
      <c r="D837" s="29">
        <v>192696000</v>
      </c>
      <c r="E837" s="29">
        <f>B837-F837</f>
        <v>2304000</v>
      </c>
      <c r="F837" s="29">
        <v>192696000</v>
      </c>
      <c r="G837" s="30">
        <v>100</v>
      </c>
      <c r="H837" s="22"/>
      <c r="I837" s="16"/>
    </row>
    <row r="838" spans="1:14" ht="24" x14ac:dyDescent="0.25">
      <c r="A838" s="28" t="s">
        <v>786</v>
      </c>
      <c r="B838" s="29">
        <v>195000000</v>
      </c>
      <c r="C838" s="28" t="s">
        <v>104</v>
      </c>
      <c r="D838" s="29">
        <v>192807000</v>
      </c>
      <c r="E838" s="29">
        <f>B838-F838</f>
        <v>2193000</v>
      </c>
      <c r="F838" s="29">
        <v>192807000</v>
      </c>
      <c r="G838" s="30">
        <v>100</v>
      </c>
      <c r="H838" s="22"/>
      <c r="I838" s="16"/>
    </row>
    <row r="839" spans="1:14" ht="24" x14ac:dyDescent="0.25">
      <c r="A839" s="28" t="s">
        <v>787</v>
      </c>
      <c r="B839" s="29">
        <v>195000000</v>
      </c>
      <c r="C839" s="28" t="s">
        <v>104</v>
      </c>
      <c r="D839" s="29">
        <v>192585000</v>
      </c>
      <c r="E839" s="29">
        <f>B839-F839</f>
        <v>2415000</v>
      </c>
      <c r="F839" s="29">
        <v>192585000</v>
      </c>
      <c r="G839" s="30">
        <v>100</v>
      </c>
      <c r="H839" s="22"/>
      <c r="I839" s="16"/>
    </row>
    <row r="840" spans="1:14" ht="24" x14ac:dyDescent="0.25">
      <c r="A840" s="28" t="s">
        <v>788</v>
      </c>
      <c r="B840" s="29">
        <v>195000000</v>
      </c>
      <c r="C840" s="28" t="s">
        <v>104</v>
      </c>
      <c r="D840" s="29">
        <v>190920000</v>
      </c>
      <c r="E840" s="29">
        <f>B840-F840</f>
        <v>4080000</v>
      </c>
      <c r="F840" s="29">
        <v>190920000</v>
      </c>
      <c r="G840" s="30">
        <v>100</v>
      </c>
      <c r="H840" s="22"/>
      <c r="I840" s="16"/>
    </row>
    <row r="841" spans="1:14" ht="24" x14ac:dyDescent="0.25">
      <c r="A841" s="28" t="s">
        <v>789</v>
      </c>
      <c r="B841" s="29">
        <v>195000000</v>
      </c>
      <c r="C841" s="28" t="s">
        <v>104</v>
      </c>
      <c r="D841" s="29">
        <v>192693000</v>
      </c>
      <c r="E841" s="29">
        <f>B841-F841</f>
        <v>2307000</v>
      </c>
      <c r="F841" s="29">
        <v>192693000</v>
      </c>
      <c r="G841" s="30">
        <v>100</v>
      </c>
      <c r="H841" s="22"/>
      <c r="I841" s="16"/>
    </row>
    <row r="842" spans="1:14" ht="24" x14ac:dyDescent="0.25">
      <c r="A842" s="28" t="s">
        <v>790</v>
      </c>
      <c r="B842" s="29">
        <v>195000000</v>
      </c>
      <c r="C842" s="28" t="s">
        <v>104</v>
      </c>
      <c r="D842" s="29">
        <v>192390000</v>
      </c>
      <c r="E842" s="29">
        <f>B842-F842</f>
        <v>2610000</v>
      </c>
      <c r="F842" s="29">
        <v>192390000</v>
      </c>
      <c r="G842" s="30">
        <v>100</v>
      </c>
      <c r="H842" s="22"/>
      <c r="I842" s="16"/>
    </row>
    <row r="843" spans="1:14" ht="24" x14ac:dyDescent="0.25">
      <c r="A843" s="28" t="s">
        <v>791</v>
      </c>
      <c r="B843" s="29">
        <v>195000000</v>
      </c>
      <c r="C843" s="28" t="s">
        <v>104</v>
      </c>
      <c r="D843" s="29">
        <v>192522000</v>
      </c>
      <c r="E843" s="29">
        <f>B843-F843</f>
        <v>2478000</v>
      </c>
      <c r="F843" s="29">
        <v>192522000</v>
      </c>
      <c r="G843" s="30">
        <v>100</v>
      </c>
      <c r="H843" s="22"/>
      <c r="I843" s="16"/>
    </row>
    <row r="844" spans="1:14" ht="24" x14ac:dyDescent="0.25">
      <c r="A844" s="28" t="s">
        <v>792</v>
      </c>
      <c r="B844" s="29">
        <v>195000000</v>
      </c>
      <c r="C844" s="28" t="s">
        <v>104</v>
      </c>
      <c r="D844" s="29">
        <v>194173971</v>
      </c>
      <c r="E844" s="29">
        <f>B844-F844</f>
        <v>826029</v>
      </c>
      <c r="F844" s="29">
        <v>194173971</v>
      </c>
      <c r="G844" s="30">
        <v>100</v>
      </c>
      <c r="H844" s="22"/>
      <c r="I844" s="16"/>
    </row>
    <row r="845" spans="1:14" ht="24" x14ac:dyDescent="0.25">
      <c r="A845" s="28" t="s">
        <v>793</v>
      </c>
      <c r="B845" s="29">
        <v>195000000</v>
      </c>
      <c r="C845" s="28" t="s">
        <v>104</v>
      </c>
      <c r="D845" s="29">
        <v>193967472</v>
      </c>
      <c r="E845" s="29">
        <f>B845-F845</f>
        <v>1032528</v>
      </c>
      <c r="F845" s="29">
        <v>193967472</v>
      </c>
      <c r="G845" s="30">
        <v>100</v>
      </c>
      <c r="H845" s="22"/>
      <c r="I845" s="16"/>
    </row>
    <row r="846" spans="1:14" s="32" customFormat="1" ht="24" x14ac:dyDescent="0.25">
      <c r="A846" s="28" t="s">
        <v>794</v>
      </c>
      <c r="B846" s="29">
        <v>195000000</v>
      </c>
      <c r="C846" s="28" t="s">
        <v>104</v>
      </c>
      <c r="D846" s="29">
        <v>193971440</v>
      </c>
      <c r="E846" s="29">
        <f>B846-F846</f>
        <v>1028560</v>
      </c>
      <c r="F846" s="29">
        <v>193971440</v>
      </c>
      <c r="G846" s="30">
        <v>100</v>
      </c>
      <c r="H846" s="22"/>
      <c r="I846" s="16"/>
      <c r="J846" s="4"/>
      <c r="K846" s="4"/>
      <c r="L846" s="4"/>
      <c r="M846" s="4"/>
      <c r="N846" s="4"/>
    </row>
    <row r="847" spans="1:14" ht="24" x14ac:dyDescent="0.25">
      <c r="A847" s="28" t="s">
        <v>795</v>
      </c>
      <c r="B847" s="29">
        <v>195000000</v>
      </c>
      <c r="C847" s="28" t="s">
        <v>104</v>
      </c>
      <c r="D847" s="29">
        <v>192008000</v>
      </c>
      <c r="E847" s="29">
        <f>B847-F847</f>
        <v>2992000</v>
      </c>
      <c r="F847" s="29">
        <v>192008000</v>
      </c>
      <c r="G847" s="30">
        <v>100</v>
      </c>
      <c r="H847" s="22"/>
      <c r="I847" s="16"/>
    </row>
    <row r="848" spans="1:14" ht="24" x14ac:dyDescent="0.25">
      <c r="A848" s="28" t="s">
        <v>796</v>
      </c>
      <c r="B848" s="29">
        <v>195000000</v>
      </c>
      <c r="C848" s="28" t="s">
        <v>104</v>
      </c>
      <c r="D848" s="29">
        <v>192128000</v>
      </c>
      <c r="E848" s="29">
        <f>B848-F848</f>
        <v>2872000</v>
      </c>
      <c r="F848" s="29">
        <v>192128000</v>
      </c>
      <c r="G848" s="30">
        <v>100</v>
      </c>
      <c r="H848" s="22"/>
      <c r="I848" s="16"/>
    </row>
    <row r="849" spans="1:14" ht="24" x14ac:dyDescent="0.25">
      <c r="A849" s="28" t="s">
        <v>797</v>
      </c>
      <c r="B849" s="29">
        <v>195000000</v>
      </c>
      <c r="C849" s="28" t="s">
        <v>104</v>
      </c>
      <c r="D849" s="29">
        <v>192612000</v>
      </c>
      <c r="E849" s="29">
        <f>B849-F849</f>
        <v>2388000</v>
      </c>
      <c r="F849" s="29">
        <v>192612000</v>
      </c>
      <c r="G849" s="30">
        <v>100</v>
      </c>
      <c r="H849" s="22"/>
      <c r="I849" s="16"/>
      <c r="J849" s="32"/>
      <c r="K849" s="32"/>
      <c r="L849" s="32"/>
      <c r="M849" s="32"/>
      <c r="N849" s="32"/>
    </row>
    <row r="850" spans="1:14" ht="24" x14ac:dyDescent="0.25">
      <c r="A850" s="28" t="s">
        <v>798</v>
      </c>
      <c r="B850" s="29">
        <v>195000000</v>
      </c>
      <c r="C850" s="28" t="s">
        <v>104</v>
      </c>
      <c r="D850" s="29">
        <v>192405000</v>
      </c>
      <c r="E850" s="29">
        <f>B850-F850</f>
        <v>2595000</v>
      </c>
      <c r="F850" s="29">
        <v>192405000</v>
      </c>
      <c r="G850" s="30">
        <v>100</v>
      </c>
      <c r="H850" s="22"/>
      <c r="I850" s="16"/>
    </row>
    <row r="851" spans="1:14" s="32" customFormat="1" ht="24" x14ac:dyDescent="0.25">
      <c r="A851" s="28" t="s">
        <v>799</v>
      </c>
      <c r="B851" s="29">
        <v>195000000</v>
      </c>
      <c r="C851" s="28" t="s">
        <v>104</v>
      </c>
      <c r="D851" s="29">
        <v>192064000</v>
      </c>
      <c r="E851" s="29">
        <f>B851-F851</f>
        <v>2936000</v>
      </c>
      <c r="F851" s="29">
        <v>192064000</v>
      </c>
      <c r="G851" s="30">
        <v>100</v>
      </c>
      <c r="H851" s="22"/>
      <c r="I851" s="16"/>
      <c r="J851" s="4"/>
      <c r="K851" s="4"/>
      <c r="L851" s="4"/>
      <c r="M851" s="4"/>
      <c r="N851" s="4"/>
    </row>
    <row r="852" spans="1:14" ht="24" x14ac:dyDescent="0.25">
      <c r="A852" s="28" t="s">
        <v>800</v>
      </c>
      <c r="B852" s="29">
        <v>195000000</v>
      </c>
      <c r="C852" s="28" t="s">
        <v>104</v>
      </c>
      <c r="D852" s="29">
        <v>192924000</v>
      </c>
      <c r="E852" s="29">
        <f>B852-F852</f>
        <v>2076000</v>
      </c>
      <c r="F852" s="29">
        <v>192924000</v>
      </c>
      <c r="G852" s="30">
        <v>100</v>
      </c>
      <c r="H852" s="22"/>
      <c r="I852" s="16"/>
    </row>
    <row r="853" spans="1:14" ht="24" x14ac:dyDescent="0.25">
      <c r="A853" s="28" t="s">
        <v>801</v>
      </c>
      <c r="B853" s="29">
        <v>195000000</v>
      </c>
      <c r="C853" s="28" t="s">
        <v>104</v>
      </c>
      <c r="D853" s="29">
        <v>192477000</v>
      </c>
      <c r="E853" s="29">
        <f>B853-F853</f>
        <v>2523000</v>
      </c>
      <c r="F853" s="29">
        <v>192477000</v>
      </c>
      <c r="G853" s="30">
        <v>100</v>
      </c>
      <c r="H853" s="22"/>
      <c r="I853" s="16"/>
    </row>
    <row r="854" spans="1:14" ht="24" x14ac:dyDescent="0.25">
      <c r="A854" s="28" t="s">
        <v>802</v>
      </c>
      <c r="B854" s="29">
        <v>195000000</v>
      </c>
      <c r="C854" s="28" t="s">
        <v>104</v>
      </c>
      <c r="D854" s="29">
        <v>192561000</v>
      </c>
      <c r="E854" s="29">
        <f>B854-F854</f>
        <v>2439000</v>
      </c>
      <c r="F854" s="29">
        <v>192561000</v>
      </c>
      <c r="G854" s="30">
        <v>100</v>
      </c>
      <c r="H854" s="22"/>
      <c r="I854" s="16"/>
      <c r="J854" s="32"/>
      <c r="K854" s="32"/>
      <c r="L854" s="32"/>
      <c r="M854" s="32"/>
      <c r="N854" s="32"/>
    </row>
    <row r="855" spans="1:14" ht="24" x14ac:dyDescent="0.25">
      <c r="A855" s="28" t="s">
        <v>803</v>
      </c>
      <c r="B855" s="29">
        <v>195000000</v>
      </c>
      <c r="C855" s="28" t="s">
        <v>104</v>
      </c>
      <c r="D855" s="29">
        <v>192403000</v>
      </c>
      <c r="E855" s="29">
        <f>B855-F855</f>
        <v>2597000</v>
      </c>
      <c r="F855" s="29">
        <v>192403000</v>
      </c>
      <c r="G855" s="30">
        <v>100</v>
      </c>
      <c r="H855" s="22"/>
      <c r="I855" s="16"/>
    </row>
    <row r="856" spans="1:14" ht="24" x14ac:dyDescent="0.25">
      <c r="A856" s="28" t="s">
        <v>804</v>
      </c>
      <c r="B856" s="29">
        <v>195000000</v>
      </c>
      <c r="C856" s="28" t="s">
        <v>104</v>
      </c>
      <c r="D856" s="29">
        <v>192875000</v>
      </c>
      <c r="E856" s="29">
        <f>B856-F856</f>
        <v>2125000</v>
      </c>
      <c r="F856" s="29">
        <v>192875000</v>
      </c>
      <c r="G856" s="30">
        <v>100</v>
      </c>
      <c r="H856" s="22"/>
      <c r="I856" s="16"/>
    </row>
    <row r="857" spans="1:14" ht="24" x14ac:dyDescent="0.25">
      <c r="A857" s="28" t="s">
        <v>805</v>
      </c>
      <c r="B857" s="29">
        <v>195000000</v>
      </c>
      <c r="C857" s="28" t="s">
        <v>104</v>
      </c>
      <c r="D857" s="29">
        <v>193032000</v>
      </c>
      <c r="E857" s="29">
        <f>B857-F857</f>
        <v>1968000</v>
      </c>
      <c r="F857" s="29">
        <v>193032000</v>
      </c>
      <c r="G857" s="30">
        <v>100</v>
      </c>
      <c r="H857" s="22"/>
      <c r="I857" s="16"/>
    </row>
    <row r="858" spans="1:14" ht="24" x14ac:dyDescent="0.25">
      <c r="A858" s="28" t="s">
        <v>806</v>
      </c>
      <c r="B858" s="29">
        <v>195000000</v>
      </c>
      <c r="C858" s="28" t="s">
        <v>104</v>
      </c>
      <c r="D858" s="29">
        <v>192500000</v>
      </c>
      <c r="E858" s="29">
        <f>B858-F858</f>
        <v>2500000</v>
      </c>
      <c r="F858" s="29">
        <v>192500000</v>
      </c>
      <c r="G858" s="30">
        <v>100</v>
      </c>
      <c r="H858" s="22"/>
      <c r="I858" s="16"/>
    </row>
    <row r="859" spans="1:14" ht="24" x14ac:dyDescent="0.25">
      <c r="A859" s="28" t="s">
        <v>807</v>
      </c>
      <c r="B859" s="29">
        <v>195000000</v>
      </c>
      <c r="C859" s="28" t="s">
        <v>104</v>
      </c>
      <c r="D859" s="29">
        <v>192480000</v>
      </c>
      <c r="E859" s="29">
        <f>B859-F859</f>
        <v>2520000</v>
      </c>
      <c r="F859" s="29">
        <v>192480000</v>
      </c>
      <c r="G859" s="30">
        <v>100</v>
      </c>
      <c r="H859" s="22"/>
      <c r="I859" s="16"/>
    </row>
    <row r="860" spans="1:14" ht="24" x14ac:dyDescent="0.25">
      <c r="A860" s="28" t="s">
        <v>808</v>
      </c>
      <c r="B860" s="29">
        <v>195000000</v>
      </c>
      <c r="C860" s="28" t="s">
        <v>104</v>
      </c>
      <c r="D860" s="29">
        <v>192515000</v>
      </c>
      <c r="E860" s="29">
        <f>B860-F860</f>
        <v>2485000</v>
      </c>
      <c r="F860" s="29">
        <v>192515000</v>
      </c>
      <c r="G860" s="30">
        <v>100</v>
      </c>
      <c r="H860" s="22"/>
      <c r="I860" s="16"/>
    </row>
    <row r="861" spans="1:14" ht="24" x14ac:dyDescent="0.25">
      <c r="A861" s="28" t="s">
        <v>809</v>
      </c>
      <c r="B861" s="29">
        <v>195000000</v>
      </c>
      <c r="C861" s="28" t="s">
        <v>104</v>
      </c>
      <c r="D861" s="29">
        <v>192510000</v>
      </c>
      <c r="E861" s="29">
        <f>B861-F861</f>
        <v>2490000</v>
      </c>
      <c r="F861" s="29">
        <v>192510000</v>
      </c>
      <c r="G861" s="30">
        <v>100</v>
      </c>
      <c r="H861" s="22"/>
      <c r="I861" s="16"/>
    </row>
    <row r="862" spans="1:14" ht="24" x14ac:dyDescent="0.25">
      <c r="A862" s="28" t="s">
        <v>810</v>
      </c>
      <c r="B862" s="29">
        <v>195000000</v>
      </c>
      <c r="C862" s="28" t="s">
        <v>104</v>
      </c>
      <c r="D862" s="29">
        <v>192505000</v>
      </c>
      <c r="E862" s="29">
        <f>B862-F862</f>
        <v>2495000</v>
      </c>
      <c r="F862" s="29">
        <v>192505000</v>
      </c>
      <c r="G862" s="30">
        <v>100</v>
      </c>
      <c r="H862" s="22"/>
      <c r="I862" s="16"/>
    </row>
    <row r="863" spans="1:14" ht="24" x14ac:dyDescent="0.25">
      <c r="A863" s="28" t="s">
        <v>811</v>
      </c>
      <c r="B863" s="29">
        <v>195000000</v>
      </c>
      <c r="C863" s="28" t="s">
        <v>104</v>
      </c>
      <c r="D863" s="29">
        <v>192492000</v>
      </c>
      <c r="E863" s="29">
        <f>B863-F863</f>
        <v>2508000</v>
      </c>
      <c r="F863" s="29">
        <v>192492000</v>
      </c>
      <c r="G863" s="30">
        <v>100</v>
      </c>
      <c r="H863" s="22"/>
      <c r="I863" s="16"/>
    </row>
    <row r="864" spans="1:14" ht="24" x14ac:dyDescent="0.25">
      <c r="A864" s="28" t="s">
        <v>812</v>
      </c>
      <c r="B864" s="29">
        <v>195000000</v>
      </c>
      <c r="C864" s="28" t="s">
        <v>104</v>
      </c>
      <c r="D864" s="29">
        <v>192351000</v>
      </c>
      <c r="E864" s="29">
        <f>B864-F864</f>
        <v>2649000</v>
      </c>
      <c r="F864" s="29">
        <v>192351000</v>
      </c>
      <c r="G864" s="30">
        <v>100</v>
      </c>
      <c r="H864" s="22"/>
      <c r="I864" s="16"/>
    </row>
    <row r="865" spans="1:14" ht="24" x14ac:dyDescent="0.25">
      <c r="A865" s="28" t="s">
        <v>813</v>
      </c>
      <c r="B865" s="29">
        <v>195000000</v>
      </c>
      <c r="C865" s="28" t="s">
        <v>104</v>
      </c>
      <c r="D865" s="29">
        <v>192978000</v>
      </c>
      <c r="E865" s="29">
        <f>B865-F865</f>
        <v>2022000</v>
      </c>
      <c r="F865" s="29">
        <v>192978000</v>
      </c>
      <c r="G865" s="30">
        <v>100</v>
      </c>
      <c r="H865" s="22"/>
      <c r="I865" s="16"/>
    </row>
    <row r="866" spans="1:14" ht="24" x14ac:dyDescent="0.25">
      <c r="A866" s="28" t="s">
        <v>814</v>
      </c>
      <c r="B866" s="29">
        <v>195000000</v>
      </c>
      <c r="C866" s="28" t="s">
        <v>104</v>
      </c>
      <c r="D866" s="29">
        <v>193016000</v>
      </c>
      <c r="E866" s="29">
        <f>B866-F866</f>
        <v>1984000</v>
      </c>
      <c r="F866" s="29">
        <v>193016000</v>
      </c>
      <c r="G866" s="30">
        <v>100</v>
      </c>
      <c r="H866" s="22"/>
      <c r="I866" s="16"/>
    </row>
    <row r="867" spans="1:14" ht="24" x14ac:dyDescent="0.25">
      <c r="A867" s="28" t="s">
        <v>815</v>
      </c>
      <c r="B867" s="29">
        <v>195000000</v>
      </c>
      <c r="C867" s="28" t="s">
        <v>104</v>
      </c>
      <c r="D867" s="29">
        <v>193042000</v>
      </c>
      <c r="E867" s="29">
        <f>B867-F867</f>
        <v>1958000</v>
      </c>
      <c r="F867" s="29">
        <v>193042000</v>
      </c>
      <c r="G867" s="30">
        <v>100</v>
      </c>
      <c r="H867" s="22"/>
      <c r="I867" s="16"/>
    </row>
    <row r="868" spans="1:14" ht="24" x14ac:dyDescent="0.25">
      <c r="A868" s="28" t="s">
        <v>816</v>
      </c>
      <c r="B868" s="29">
        <v>195000000</v>
      </c>
      <c r="C868" s="28" t="s">
        <v>104</v>
      </c>
      <c r="D868" s="29">
        <v>192550000</v>
      </c>
      <c r="E868" s="29">
        <f>B868-F868</f>
        <v>2450000</v>
      </c>
      <c r="F868" s="29">
        <v>192550000</v>
      </c>
      <c r="G868" s="30">
        <v>100</v>
      </c>
      <c r="H868" s="22"/>
      <c r="I868" s="16"/>
    </row>
    <row r="869" spans="1:14" ht="24" x14ac:dyDescent="0.25">
      <c r="A869" s="28" t="s">
        <v>817</v>
      </c>
      <c r="B869" s="29">
        <v>195000000</v>
      </c>
      <c r="C869" s="28" t="s">
        <v>104</v>
      </c>
      <c r="D869" s="29">
        <v>192570000</v>
      </c>
      <c r="E869" s="29">
        <f>B869-F869</f>
        <v>2430000</v>
      </c>
      <c r="F869" s="29">
        <v>192570000</v>
      </c>
      <c r="G869" s="30">
        <v>100</v>
      </c>
      <c r="H869" s="22"/>
      <c r="I869" s="16"/>
    </row>
    <row r="870" spans="1:14" ht="24" x14ac:dyDescent="0.25">
      <c r="A870" s="28" t="s">
        <v>818</v>
      </c>
      <c r="B870" s="29">
        <v>195000000</v>
      </c>
      <c r="C870" s="28" t="s">
        <v>104</v>
      </c>
      <c r="D870" s="29">
        <v>192400000</v>
      </c>
      <c r="E870" s="29">
        <f>B870-F870</f>
        <v>2600000</v>
      </c>
      <c r="F870" s="29">
        <v>192400000</v>
      </c>
      <c r="G870" s="30">
        <v>100</v>
      </c>
      <c r="H870" s="22"/>
      <c r="I870" s="16"/>
    </row>
    <row r="871" spans="1:14" ht="24" x14ac:dyDescent="0.25">
      <c r="A871" s="28" t="s">
        <v>819</v>
      </c>
      <c r="B871" s="29">
        <v>195000000</v>
      </c>
      <c r="C871" s="28" t="s">
        <v>104</v>
      </c>
      <c r="D871" s="29">
        <v>192426000</v>
      </c>
      <c r="E871" s="29">
        <f>B871-F871</f>
        <v>2574000</v>
      </c>
      <c r="F871" s="29">
        <v>192426000</v>
      </c>
      <c r="G871" s="30">
        <v>100</v>
      </c>
      <c r="H871" s="22"/>
      <c r="I871" s="16"/>
    </row>
    <row r="872" spans="1:14" ht="24" x14ac:dyDescent="0.25">
      <c r="A872" s="28" t="s">
        <v>820</v>
      </c>
      <c r="B872" s="29">
        <v>147000000</v>
      </c>
      <c r="C872" s="28" t="s">
        <v>104</v>
      </c>
      <c r="D872" s="29">
        <v>144500000</v>
      </c>
      <c r="E872" s="29">
        <f>B872-F872</f>
        <v>2500000</v>
      </c>
      <c r="F872" s="29">
        <v>144500000</v>
      </c>
      <c r="G872" s="30">
        <v>100</v>
      </c>
      <c r="H872" s="22"/>
      <c r="I872" s="16"/>
    </row>
    <row r="873" spans="1:14" ht="24" x14ac:dyDescent="0.25">
      <c r="A873" s="28" t="s">
        <v>821</v>
      </c>
      <c r="B873" s="29">
        <v>195000000</v>
      </c>
      <c r="C873" s="28" t="s">
        <v>104</v>
      </c>
      <c r="D873" s="29">
        <v>192483000</v>
      </c>
      <c r="E873" s="29">
        <f>B873-F873</f>
        <v>2517000</v>
      </c>
      <c r="F873" s="29">
        <v>192483000</v>
      </c>
      <c r="G873" s="30">
        <v>100</v>
      </c>
      <c r="H873" s="22"/>
      <c r="I873" s="16"/>
    </row>
    <row r="874" spans="1:14" ht="24" x14ac:dyDescent="0.25">
      <c r="A874" s="28" t="s">
        <v>822</v>
      </c>
      <c r="B874" s="29">
        <v>195000000</v>
      </c>
      <c r="C874" s="28" t="s">
        <v>104</v>
      </c>
      <c r="D874" s="29">
        <v>192492000</v>
      </c>
      <c r="E874" s="29">
        <f>B874-F874</f>
        <v>2508000</v>
      </c>
      <c r="F874" s="29">
        <v>192492000</v>
      </c>
      <c r="G874" s="30">
        <v>100</v>
      </c>
      <c r="H874" s="22"/>
      <c r="I874" s="16"/>
    </row>
    <row r="875" spans="1:14" ht="24" x14ac:dyDescent="0.25">
      <c r="A875" s="28" t="s">
        <v>823</v>
      </c>
      <c r="B875" s="29">
        <v>195000000</v>
      </c>
      <c r="C875" s="28" t="s">
        <v>104</v>
      </c>
      <c r="D875" s="29">
        <v>192971000</v>
      </c>
      <c r="E875" s="29">
        <f>B875-F875</f>
        <v>2029000</v>
      </c>
      <c r="F875" s="29">
        <v>192971000</v>
      </c>
      <c r="G875" s="30">
        <v>100</v>
      </c>
      <c r="H875" s="22"/>
      <c r="I875" s="16"/>
    </row>
    <row r="876" spans="1:14" s="32" customFormat="1" ht="24" x14ac:dyDescent="0.25">
      <c r="A876" s="28" t="s">
        <v>824</v>
      </c>
      <c r="B876" s="29">
        <v>195000000</v>
      </c>
      <c r="C876" s="28" t="s">
        <v>104</v>
      </c>
      <c r="D876" s="29">
        <v>192675000</v>
      </c>
      <c r="E876" s="29">
        <f>B876-F876</f>
        <v>2325000</v>
      </c>
      <c r="F876" s="29">
        <v>192675000</v>
      </c>
      <c r="G876" s="30">
        <v>100</v>
      </c>
      <c r="H876" s="22"/>
      <c r="I876" s="16"/>
      <c r="J876" s="4"/>
      <c r="K876" s="4"/>
      <c r="L876" s="4"/>
      <c r="M876" s="4"/>
      <c r="N876" s="4"/>
    </row>
    <row r="877" spans="1:14" ht="24" x14ac:dyDescent="0.25">
      <c r="A877" s="28" t="s">
        <v>825</v>
      </c>
      <c r="B877" s="29">
        <v>195000000</v>
      </c>
      <c r="C877" s="28" t="s">
        <v>104</v>
      </c>
      <c r="D877" s="29">
        <v>192347000</v>
      </c>
      <c r="E877" s="29">
        <f>B877-F877</f>
        <v>2653000</v>
      </c>
      <c r="F877" s="29">
        <v>192347000</v>
      </c>
      <c r="G877" s="30">
        <v>100</v>
      </c>
      <c r="H877" s="22"/>
      <c r="I877" s="16"/>
    </row>
    <row r="878" spans="1:14" ht="24" x14ac:dyDescent="0.25">
      <c r="A878" s="28" t="s">
        <v>826</v>
      </c>
      <c r="B878" s="29">
        <v>195000000</v>
      </c>
      <c r="C878" s="28" t="s">
        <v>104</v>
      </c>
      <c r="D878" s="29">
        <v>192805000</v>
      </c>
      <c r="E878" s="29">
        <f>B878-F878</f>
        <v>2195000</v>
      </c>
      <c r="F878" s="29">
        <v>192805000</v>
      </c>
      <c r="G878" s="30">
        <v>100</v>
      </c>
      <c r="H878" s="22"/>
      <c r="I878" s="16"/>
    </row>
    <row r="879" spans="1:14" ht="24" x14ac:dyDescent="0.25">
      <c r="A879" s="28" t="s">
        <v>827</v>
      </c>
      <c r="B879" s="29">
        <v>195000000</v>
      </c>
      <c r="C879" s="28" t="s">
        <v>104</v>
      </c>
      <c r="D879" s="29">
        <v>192749000</v>
      </c>
      <c r="E879" s="29">
        <f>B879-F879</f>
        <v>2251000</v>
      </c>
      <c r="F879" s="29">
        <v>192749000</v>
      </c>
      <c r="G879" s="30">
        <v>100</v>
      </c>
      <c r="H879" s="22"/>
      <c r="I879" s="16"/>
      <c r="J879" s="32"/>
      <c r="K879" s="32"/>
      <c r="L879" s="32"/>
      <c r="M879" s="32"/>
      <c r="N879" s="32"/>
    </row>
    <row r="880" spans="1:14" ht="24" x14ac:dyDescent="0.25">
      <c r="A880" s="28" t="s">
        <v>828</v>
      </c>
      <c r="B880" s="29">
        <v>195000000</v>
      </c>
      <c r="C880" s="28" t="s">
        <v>104</v>
      </c>
      <c r="D880" s="29">
        <v>192303000</v>
      </c>
      <c r="E880" s="29">
        <f>B880-F880</f>
        <v>2697000</v>
      </c>
      <c r="F880" s="29">
        <v>192303000</v>
      </c>
      <c r="G880" s="30">
        <v>100</v>
      </c>
      <c r="H880" s="22"/>
      <c r="I880" s="16"/>
    </row>
    <row r="881" spans="1:9" ht="24" x14ac:dyDescent="0.25">
      <c r="A881" s="28" t="s">
        <v>829</v>
      </c>
      <c r="B881" s="29">
        <v>147000000</v>
      </c>
      <c r="C881" s="28" t="s">
        <v>104</v>
      </c>
      <c r="D881" s="29">
        <v>145334000</v>
      </c>
      <c r="E881" s="29">
        <f>B881-F881</f>
        <v>1666000</v>
      </c>
      <c r="F881" s="29">
        <v>145334000</v>
      </c>
      <c r="G881" s="30">
        <v>100</v>
      </c>
      <c r="H881" s="22"/>
      <c r="I881" s="16"/>
    </row>
    <row r="882" spans="1:9" ht="24" x14ac:dyDescent="0.25">
      <c r="A882" s="28" t="s">
        <v>830</v>
      </c>
      <c r="B882" s="29">
        <v>195000000</v>
      </c>
      <c r="C882" s="28" t="s">
        <v>104</v>
      </c>
      <c r="D882" s="29">
        <v>192540000</v>
      </c>
      <c r="E882" s="29">
        <f>B882-F882</f>
        <v>2460000</v>
      </c>
      <c r="F882" s="29">
        <v>192540000</v>
      </c>
      <c r="G882" s="30">
        <v>100</v>
      </c>
      <c r="H882" s="22"/>
      <c r="I882" s="16"/>
    </row>
    <row r="883" spans="1:9" ht="24" x14ac:dyDescent="0.25">
      <c r="A883" s="28" t="s">
        <v>831</v>
      </c>
      <c r="B883" s="29">
        <v>147000000</v>
      </c>
      <c r="C883" s="28" t="s">
        <v>104</v>
      </c>
      <c r="D883" s="29">
        <v>145635000</v>
      </c>
      <c r="E883" s="29">
        <f>B883-F883</f>
        <v>1365000</v>
      </c>
      <c r="F883" s="29">
        <v>145635000</v>
      </c>
      <c r="G883" s="30">
        <v>100</v>
      </c>
      <c r="H883" s="22"/>
      <c r="I883" s="16"/>
    </row>
    <row r="884" spans="1:9" ht="24" x14ac:dyDescent="0.25">
      <c r="A884" s="28" t="s">
        <v>832</v>
      </c>
      <c r="B884" s="29">
        <v>100000000</v>
      </c>
      <c r="C884" s="28" t="s">
        <v>104</v>
      </c>
      <c r="D884" s="29">
        <v>98231000</v>
      </c>
      <c r="E884" s="29">
        <f>B884-F884</f>
        <v>1769000</v>
      </c>
      <c r="F884" s="29">
        <v>98231000</v>
      </c>
      <c r="G884" s="30">
        <v>100</v>
      </c>
      <c r="H884" s="22"/>
      <c r="I884" s="16"/>
    </row>
    <row r="885" spans="1:9" ht="24" x14ac:dyDescent="0.25">
      <c r="A885" s="28" t="s">
        <v>833</v>
      </c>
      <c r="B885" s="29">
        <v>100000000</v>
      </c>
      <c r="C885" s="28" t="s">
        <v>104</v>
      </c>
      <c r="D885" s="29">
        <v>98748000</v>
      </c>
      <c r="E885" s="29">
        <f>B885-F885</f>
        <v>1252000</v>
      </c>
      <c r="F885" s="29">
        <v>98748000</v>
      </c>
      <c r="G885" s="30">
        <v>100</v>
      </c>
      <c r="H885" s="22"/>
      <c r="I885" s="16"/>
    </row>
    <row r="886" spans="1:9" ht="24" x14ac:dyDescent="0.25">
      <c r="A886" s="28" t="s">
        <v>834</v>
      </c>
      <c r="B886" s="29">
        <v>195000000</v>
      </c>
      <c r="C886" s="28" t="s">
        <v>104</v>
      </c>
      <c r="D886" s="29">
        <v>192169000</v>
      </c>
      <c r="E886" s="29">
        <f>B886-F886</f>
        <v>2831000</v>
      </c>
      <c r="F886" s="29">
        <v>192169000</v>
      </c>
      <c r="G886" s="30">
        <v>100</v>
      </c>
      <c r="H886" s="22"/>
      <c r="I886" s="16"/>
    </row>
    <row r="887" spans="1:9" ht="24" x14ac:dyDescent="0.25">
      <c r="A887" s="28" t="s">
        <v>835</v>
      </c>
      <c r="B887" s="29">
        <v>195000000</v>
      </c>
      <c r="C887" s="28" t="s">
        <v>104</v>
      </c>
      <c r="D887" s="29">
        <v>192551000</v>
      </c>
      <c r="E887" s="29">
        <f>B887-F887</f>
        <v>2449000</v>
      </c>
      <c r="F887" s="29">
        <v>192551000</v>
      </c>
      <c r="G887" s="30">
        <v>100</v>
      </c>
      <c r="H887" s="22"/>
      <c r="I887" s="16"/>
    </row>
    <row r="888" spans="1:9" ht="24" x14ac:dyDescent="0.25">
      <c r="A888" s="28" t="s">
        <v>836</v>
      </c>
      <c r="B888" s="29">
        <v>195000000</v>
      </c>
      <c r="C888" s="28" t="s">
        <v>104</v>
      </c>
      <c r="D888" s="29">
        <v>192532000</v>
      </c>
      <c r="E888" s="29">
        <f>B888-F888</f>
        <v>2468000</v>
      </c>
      <c r="F888" s="29">
        <v>192532000</v>
      </c>
      <c r="G888" s="30">
        <v>100</v>
      </c>
      <c r="H888" s="22"/>
      <c r="I888" s="16"/>
    </row>
    <row r="889" spans="1:9" ht="24" x14ac:dyDescent="0.25">
      <c r="A889" s="28" t="s">
        <v>837</v>
      </c>
      <c r="B889" s="29">
        <v>195000000</v>
      </c>
      <c r="C889" s="28" t="s">
        <v>104</v>
      </c>
      <c r="D889" s="29">
        <v>192521000</v>
      </c>
      <c r="E889" s="29">
        <f>B889-F889</f>
        <v>2479000</v>
      </c>
      <c r="F889" s="29">
        <v>192521000</v>
      </c>
      <c r="G889" s="30">
        <v>100</v>
      </c>
      <c r="H889" s="22"/>
      <c r="I889" s="16"/>
    </row>
    <row r="890" spans="1:9" ht="24" x14ac:dyDescent="0.25">
      <c r="A890" s="28" t="s">
        <v>838</v>
      </c>
      <c r="B890" s="29">
        <v>147000000</v>
      </c>
      <c r="C890" s="28" t="s">
        <v>104</v>
      </c>
      <c r="D890" s="29">
        <v>145007000</v>
      </c>
      <c r="E890" s="29">
        <f>B890-F890</f>
        <v>1993000</v>
      </c>
      <c r="F890" s="29">
        <v>145007000</v>
      </c>
      <c r="G890" s="30">
        <v>100</v>
      </c>
      <c r="H890" s="22"/>
      <c r="I890" s="16"/>
    </row>
    <row r="891" spans="1:9" ht="36" x14ac:dyDescent="0.25">
      <c r="A891" s="28" t="s">
        <v>839</v>
      </c>
      <c r="B891" s="29">
        <v>147000000</v>
      </c>
      <c r="C891" s="28" t="s">
        <v>104</v>
      </c>
      <c r="D891" s="29">
        <v>145043000</v>
      </c>
      <c r="E891" s="29">
        <f>B891-F891</f>
        <v>1957000</v>
      </c>
      <c r="F891" s="29">
        <v>145043000</v>
      </c>
      <c r="G891" s="30">
        <v>100</v>
      </c>
      <c r="H891" s="22"/>
      <c r="I891" s="16"/>
    </row>
    <row r="892" spans="1:9" ht="24" x14ac:dyDescent="0.25">
      <c r="A892" s="28" t="s">
        <v>840</v>
      </c>
      <c r="B892" s="29">
        <v>147000000</v>
      </c>
      <c r="C892" s="28" t="s">
        <v>104</v>
      </c>
      <c r="D892" s="29">
        <v>145743000</v>
      </c>
      <c r="E892" s="29">
        <f>B892-F892</f>
        <v>1257000</v>
      </c>
      <c r="F892" s="29">
        <v>145743000</v>
      </c>
      <c r="G892" s="30">
        <v>100</v>
      </c>
      <c r="H892" s="22"/>
      <c r="I892" s="16"/>
    </row>
    <row r="893" spans="1:9" ht="24" x14ac:dyDescent="0.25">
      <c r="A893" s="28" t="s">
        <v>841</v>
      </c>
      <c r="B893" s="29">
        <v>100000000</v>
      </c>
      <c r="C893" s="28" t="s">
        <v>104</v>
      </c>
      <c r="D893" s="29">
        <v>99377360</v>
      </c>
      <c r="E893" s="29">
        <f>B893-F893</f>
        <v>622640</v>
      </c>
      <c r="F893" s="29">
        <v>99377360</v>
      </c>
      <c r="G893" s="30">
        <v>100</v>
      </c>
      <c r="H893" s="22"/>
      <c r="I893" s="16"/>
    </row>
    <row r="894" spans="1:9" ht="24" x14ac:dyDescent="0.25">
      <c r="A894" s="28" t="s">
        <v>842</v>
      </c>
      <c r="B894" s="29">
        <v>195000000</v>
      </c>
      <c r="C894" s="28" t="s">
        <v>104</v>
      </c>
      <c r="D894" s="29">
        <v>192807000</v>
      </c>
      <c r="E894" s="29">
        <f>B894-F894</f>
        <v>2193000</v>
      </c>
      <c r="F894" s="29">
        <v>192807000</v>
      </c>
      <c r="G894" s="30">
        <v>100</v>
      </c>
      <c r="H894" s="22"/>
      <c r="I894" s="16"/>
    </row>
    <row r="895" spans="1:9" ht="24" x14ac:dyDescent="0.25">
      <c r="A895" s="28" t="s">
        <v>843</v>
      </c>
      <c r="B895" s="29">
        <v>195000000</v>
      </c>
      <c r="C895" s="28" t="s">
        <v>104</v>
      </c>
      <c r="D895" s="29">
        <v>192523000</v>
      </c>
      <c r="E895" s="29">
        <f>B895-F895</f>
        <v>2477000</v>
      </c>
      <c r="F895" s="29">
        <v>192523000</v>
      </c>
      <c r="G895" s="30">
        <v>100</v>
      </c>
      <c r="H895" s="22"/>
      <c r="I895" s="16"/>
    </row>
    <row r="896" spans="1:9" ht="24" x14ac:dyDescent="0.25">
      <c r="A896" s="28" t="s">
        <v>844</v>
      </c>
      <c r="B896" s="29">
        <v>195000000</v>
      </c>
      <c r="C896" s="28" t="s">
        <v>104</v>
      </c>
      <c r="D896" s="29">
        <v>192547000</v>
      </c>
      <c r="E896" s="29">
        <f>B896-F896</f>
        <v>2453000</v>
      </c>
      <c r="F896" s="29">
        <v>192547000</v>
      </c>
      <c r="G896" s="30">
        <v>100</v>
      </c>
      <c r="H896" s="22"/>
      <c r="I896" s="16"/>
    </row>
    <row r="897" spans="1:9" ht="24" x14ac:dyDescent="0.25">
      <c r="A897" s="28" t="s">
        <v>845</v>
      </c>
      <c r="B897" s="29">
        <v>195000000</v>
      </c>
      <c r="C897" s="28" t="s">
        <v>104</v>
      </c>
      <c r="D897" s="29">
        <v>192380000</v>
      </c>
      <c r="E897" s="29">
        <f>B897-F897</f>
        <v>2620000</v>
      </c>
      <c r="F897" s="29">
        <v>192380000</v>
      </c>
      <c r="G897" s="30">
        <v>100</v>
      </c>
      <c r="H897" s="22"/>
      <c r="I897" s="16"/>
    </row>
    <row r="898" spans="1:9" ht="24" x14ac:dyDescent="0.25">
      <c r="A898" s="28" t="s">
        <v>846</v>
      </c>
      <c r="B898" s="29">
        <v>195000000</v>
      </c>
      <c r="C898" s="28" t="s">
        <v>104</v>
      </c>
      <c r="D898" s="29">
        <v>190476000</v>
      </c>
      <c r="E898" s="29">
        <f>B898-F898</f>
        <v>4524000</v>
      </c>
      <c r="F898" s="29">
        <v>190476000</v>
      </c>
      <c r="G898" s="30">
        <v>100</v>
      </c>
      <c r="H898" s="22"/>
      <c r="I898" s="16"/>
    </row>
    <row r="899" spans="1:9" ht="24" x14ac:dyDescent="0.25">
      <c r="A899" s="28" t="s">
        <v>847</v>
      </c>
      <c r="B899" s="29">
        <v>200000000</v>
      </c>
      <c r="C899" s="28" t="s">
        <v>104</v>
      </c>
      <c r="D899" s="29">
        <v>197136000</v>
      </c>
      <c r="E899" s="29">
        <f>B899-F899</f>
        <v>2864000</v>
      </c>
      <c r="F899" s="29">
        <v>197136000</v>
      </c>
      <c r="G899" s="30">
        <v>100</v>
      </c>
      <c r="H899" s="22"/>
      <c r="I899" s="16"/>
    </row>
    <row r="900" spans="1:9" ht="24" x14ac:dyDescent="0.25">
      <c r="A900" s="28" t="s">
        <v>848</v>
      </c>
      <c r="B900" s="29">
        <v>147000000</v>
      </c>
      <c r="C900" s="28" t="s">
        <v>104</v>
      </c>
      <c r="D900" s="29">
        <v>145131000</v>
      </c>
      <c r="E900" s="29">
        <f>B900-F900</f>
        <v>1869000</v>
      </c>
      <c r="F900" s="29">
        <v>145131000</v>
      </c>
      <c r="G900" s="30">
        <v>100</v>
      </c>
      <c r="H900" s="22"/>
      <c r="I900" s="16"/>
    </row>
    <row r="901" spans="1:9" ht="24" x14ac:dyDescent="0.25">
      <c r="A901" s="28" t="s">
        <v>849</v>
      </c>
      <c r="B901" s="29">
        <v>147000000</v>
      </c>
      <c r="C901" s="28" t="s">
        <v>104</v>
      </c>
      <c r="D901" s="29">
        <v>145602969</v>
      </c>
      <c r="E901" s="29">
        <f>B901-F901</f>
        <v>1397031</v>
      </c>
      <c r="F901" s="29">
        <v>145602969</v>
      </c>
      <c r="G901" s="30">
        <v>100</v>
      </c>
      <c r="H901" s="22"/>
      <c r="I901" s="16"/>
    </row>
    <row r="902" spans="1:9" ht="24" x14ac:dyDescent="0.25">
      <c r="A902" s="28" t="s">
        <v>850</v>
      </c>
      <c r="B902" s="29">
        <v>100000000</v>
      </c>
      <c r="C902" s="28" t="s">
        <v>104</v>
      </c>
      <c r="D902" s="29">
        <v>97441000</v>
      </c>
      <c r="E902" s="29">
        <f>B902-F902</f>
        <v>2559000</v>
      </c>
      <c r="F902" s="29">
        <v>97441000</v>
      </c>
      <c r="G902" s="30">
        <v>100</v>
      </c>
      <c r="H902" s="22"/>
      <c r="I902" s="16"/>
    </row>
    <row r="903" spans="1:9" ht="24" x14ac:dyDescent="0.25">
      <c r="A903" s="28" t="s">
        <v>851</v>
      </c>
      <c r="B903" s="29">
        <v>195000000</v>
      </c>
      <c r="C903" s="28" t="s">
        <v>104</v>
      </c>
      <c r="D903" s="29">
        <v>193492693</v>
      </c>
      <c r="E903" s="29">
        <f>B903-F903</f>
        <v>1507307</v>
      </c>
      <c r="F903" s="29">
        <v>193492693</v>
      </c>
      <c r="G903" s="30">
        <v>100</v>
      </c>
      <c r="H903" s="22"/>
      <c r="I903" s="16"/>
    </row>
    <row r="904" spans="1:9" ht="24" x14ac:dyDescent="0.25">
      <c r="A904" s="28" t="s">
        <v>852</v>
      </c>
      <c r="B904" s="29">
        <v>147000000</v>
      </c>
      <c r="C904" s="28" t="s">
        <v>104</v>
      </c>
      <c r="D904" s="29">
        <v>145668000</v>
      </c>
      <c r="E904" s="29">
        <f>B904-F904</f>
        <v>1332000</v>
      </c>
      <c r="F904" s="29">
        <v>145668000</v>
      </c>
      <c r="G904" s="30">
        <v>100</v>
      </c>
      <c r="H904" s="22"/>
      <c r="I904" s="16"/>
    </row>
    <row r="905" spans="1:9" ht="24" x14ac:dyDescent="0.25">
      <c r="A905" s="28" t="s">
        <v>853</v>
      </c>
      <c r="B905" s="29">
        <v>195000000</v>
      </c>
      <c r="C905" s="28" t="s">
        <v>104</v>
      </c>
      <c r="D905" s="29">
        <v>193219798</v>
      </c>
      <c r="E905" s="29">
        <f>B905-F905</f>
        <v>1780202</v>
      </c>
      <c r="F905" s="29">
        <v>193219798</v>
      </c>
      <c r="G905" s="30">
        <v>100</v>
      </c>
      <c r="H905" s="22"/>
      <c r="I905" s="16"/>
    </row>
    <row r="906" spans="1:9" ht="24" x14ac:dyDescent="0.25">
      <c r="A906" s="28" t="s">
        <v>854</v>
      </c>
      <c r="B906" s="29">
        <v>195000000</v>
      </c>
      <c r="C906" s="28" t="s">
        <v>104</v>
      </c>
      <c r="D906" s="29">
        <v>191845000</v>
      </c>
      <c r="E906" s="29">
        <f>B906-F906</f>
        <v>3155000</v>
      </c>
      <c r="F906" s="29">
        <v>191845000</v>
      </c>
      <c r="G906" s="30">
        <v>100</v>
      </c>
      <c r="H906" s="22"/>
      <c r="I906" s="16"/>
    </row>
    <row r="907" spans="1:9" ht="24" x14ac:dyDescent="0.25">
      <c r="A907" s="28" t="s">
        <v>855</v>
      </c>
      <c r="B907" s="29">
        <v>195000000</v>
      </c>
      <c r="C907" s="28" t="s">
        <v>104</v>
      </c>
      <c r="D907" s="29">
        <v>192862000</v>
      </c>
      <c r="E907" s="29">
        <f>B907-F907</f>
        <v>2138000</v>
      </c>
      <c r="F907" s="29">
        <v>192862000</v>
      </c>
      <c r="G907" s="30">
        <v>100</v>
      </c>
      <c r="H907" s="22"/>
      <c r="I907" s="16"/>
    </row>
    <row r="908" spans="1:9" ht="24" x14ac:dyDescent="0.25">
      <c r="A908" s="28" t="s">
        <v>856</v>
      </c>
      <c r="B908" s="29">
        <v>195000000</v>
      </c>
      <c r="C908" s="28" t="s">
        <v>104</v>
      </c>
      <c r="D908" s="29">
        <v>192336000</v>
      </c>
      <c r="E908" s="29">
        <f>B908-F908</f>
        <v>2664000</v>
      </c>
      <c r="F908" s="29">
        <v>192336000</v>
      </c>
      <c r="G908" s="30">
        <v>100</v>
      </c>
      <c r="H908" s="22"/>
      <c r="I908" s="16"/>
    </row>
    <row r="909" spans="1:9" ht="24" x14ac:dyDescent="0.25">
      <c r="A909" s="28" t="s">
        <v>857</v>
      </c>
      <c r="B909" s="29">
        <v>195000000</v>
      </c>
      <c r="C909" s="28" t="s">
        <v>104</v>
      </c>
      <c r="D909" s="29">
        <v>192384000</v>
      </c>
      <c r="E909" s="29">
        <f>B909-F909</f>
        <v>2616000</v>
      </c>
      <c r="F909" s="29">
        <v>192384000</v>
      </c>
      <c r="G909" s="30">
        <v>100</v>
      </c>
      <c r="H909" s="22"/>
      <c r="I909" s="16"/>
    </row>
    <row r="910" spans="1:9" ht="24" x14ac:dyDescent="0.25">
      <c r="A910" s="28" t="s">
        <v>858</v>
      </c>
      <c r="B910" s="29">
        <v>0</v>
      </c>
      <c r="C910" s="28" t="s">
        <v>104</v>
      </c>
      <c r="D910" s="29">
        <v>0</v>
      </c>
      <c r="E910" s="29">
        <f>B910-F910</f>
        <v>0</v>
      </c>
      <c r="F910" s="29">
        <v>0</v>
      </c>
      <c r="G910" s="30">
        <v>0</v>
      </c>
      <c r="H910" s="22"/>
      <c r="I910" s="16"/>
    </row>
    <row r="911" spans="1:9" ht="24" x14ac:dyDescent="0.25">
      <c r="A911" s="28" t="s">
        <v>859</v>
      </c>
      <c r="B911" s="29">
        <v>0</v>
      </c>
      <c r="C911" s="28" t="s">
        <v>104</v>
      </c>
      <c r="D911" s="29">
        <v>0</v>
      </c>
      <c r="E911" s="29">
        <f>B911-F911</f>
        <v>0</v>
      </c>
      <c r="F911" s="29">
        <v>0</v>
      </c>
      <c r="G911" s="30">
        <v>0</v>
      </c>
      <c r="H911" s="22"/>
      <c r="I911" s="16"/>
    </row>
    <row r="912" spans="1:9" ht="24" x14ac:dyDescent="0.25">
      <c r="A912" s="28" t="s">
        <v>860</v>
      </c>
      <c r="B912" s="29">
        <v>0</v>
      </c>
      <c r="C912" s="28" t="s">
        <v>104</v>
      </c>
      <c r="D912" s="29">
        <v>0</v>
      </c>
      <c r="E912" s="29">
        <f>B912-F912</f>
        <v>0</v>
      </c>
      <c r="F912" s="29">
        <v>0</v>
      </c>
      <c r="G912" s="30">
        <v>0</v>
      </c>
      <c r="H912" s="22"/>
      <c r="I912" s="16"/>
    </row>
    <row r="913" spans="1:9" ht="24" x14ac:dyDescent="0.25">
      <c r="A913" s="28" t="s">
        <v>861</v>
      </c>
      <c r="B913" s="29">
        <v>0</v>
      </c>
      <c r="C913" s="28" t="s">
        <v>104</v>
      </c>
      <c r="D913" s="29">
        <v>0</v>
      </c>
      <c r="E913" s="29">
        <f>B913-F913</f>
        <v>0</v>
      </c>
      <c r="F913" s="29">
        <v>0</v>
      </c>
      <c r="G913" s="30">
        <v>0</v>
      </c>
      <c r="H913" s="22"/>
      <c r="I913" s="16"/>
    </row>
    <row r="914" spans="1:9" ht="24" x14ac:dyDescent="0.25">
      <c r="A914" s="28" t="s">
        <v>862</v>
      </c>
      <c r="B914" s="29">
        <v>0</v>
      </c>
      <c r="C914" s="28" t="s">
        <v>104</v>
      </c>
      <c r="D914" s="29">
        <v>0</v>
      </c>
      <c r="E914" s="29">
        <f>B914-F914</f>
        <v>0</v>
      </c>
      <c r="F914" s="29">
        <v>0</v>
      </c>
      <c r="G914" s="30">
        <v>0</v>
      </c>
      <c r="H914" s="22"/>
      <c r="I914" s="16"/>
    </row>
    <row r="915" spans="1:9" ht="24" x14ac:dyDescent="0.25">
      <c r="A915" s="28" t="s">
        <v>863</v>
      </c>
      <c r="B915" s="29">
        <v>0</v>
      </c>
      <c r="C915" s="28" t="s">
        <v>104</v>
      </c>
      <c r="D915" s="29">
        <v>0</v>
      </c>
      <c r="E915" s="29">
        <f>B915-F915</f>
        <v>0</v>
      </c>
      <c r="F915" s="29">
        <v>0</v>
      </c>
      <c r="G915" s="30">
        <v>0</v>
      </c>
      <c r="H915" s="22"/>
      <c r="I915" s="16"/>
    </row>
    <row r="916" spans="1:9" ht="24" x14ac:dyDescent="0.25">
      <c r="A916" s="28" t="s">
        <v>864</v>
      </c>
      <c r="B916" s="29">
        <v>0</v>
      </c>
      <c r="C916" s="28" t="s">
        <v>104</v>
      </c>
      <c r="D916" s="29">
        <v>0</v>
      </c>
      <c r="E916" s="29">
        <f>B916-F916</f>
        <v>0</v>
      </c>
      <c r="F916" s="29">
        <v>0</v>
      </c>
      <c r="G916" s="30">
        <v>0</v>
      </c>
      <c r="H916" s="22"/>
      <c r="I916" s="16"/>
    </row>
    <row r="917" spans="1:9" ht="24" x14ac:dyDescent="0.25">
      <c r="A917" s="28" t="s">
        <v>865</v>
      </c>
      <c r="B917" s="29">
        <v>0</v>
      </c>
      <c r="C917" s="28" t="s">
        <v>104</v>
      </c>
      <c r="D917" s="29">
        <v>0</v>
      </c>
      <c r="E917" s="29">
        <f>B917-F917</f>
        <v>0</v>
      </c>
      <c r="F917" s="29">
        <v>0</v>
      </c>
      <c r="G917" s="30">
        <v>0</v>
      </c>
      <c r="H917" s="22"/>
      <c r="I917" s="16"/>
    </row>
    <row r="918" spans="1:9" ht="24" x14ac:dyDescent="0.25">
      <c r="A918" s="28" t="s">
        <v>866</v>
      </c>
      <c r="B918" s="29">
        <v>0</v>
      </c>
      <c r="C918" s="28" t="s">
        <v>104</v>
      </c>
      <c r="D918" s="29">
        <v>0</v>
      </c>
      <c r="E918" s="29">
        <f>B918-F918</f>
        <v>0</v>
      </c>
      <c r="F918" s="29">
        <v>0</v>
      </c>
      <c r="G918" s="30">
        <v>0</v>
      </c>
      <c r="H918" s="22"/>
      <c r="I918" s="16"/>
    </row>
    <row r="919" spans="1:9" ht="24" x14ac:dyDescent="0.25">
      <c r="A919" s="28" t="s">
        <v>867</v>
      </c>
      <c r="B919" s="29">
        <v>0</v>
      </c>
      <c r="C919" s="28" t="s">
        <v>104</v>
      </c>
      <c r="D919" s="29">
        <v>0</v>
      </c>
      <c r="E919" s="29">
        <f>B919-F919</f>
        <v>0</v>
      </c>
      <c r="F919" s="29">
        <v>0</v>
      </c>
      <c r="G919" s="30">
        <v>0</v>
      </c>
      <c r="H919" s="22"/>
      <c r="I919" s="16"/>
    </row>
    <row r="920" spans="1:9" ht="24" x14ac:dyDescent="0.25">
      <c r="A920" s="28" t="s">
        <v>868</v>
      </c>
      <c r="B920" s="29">
        <v>0</v>
      </c>
      <c r="C920" s="28" t="s">
        <v>104</v>
      </c>
      <c r="D920" s="29">
        <v>0</v>
      </c>
      <c r="E920" s="29">
        <f>B920-F920</f>
        <v>0</v>
      </c>
      <c r="F920" s="29">
        <v>0</v>
      </c>
      <c r="G920" s="30">
        <v>0</v>
      </c>
      <c r="H920" s="22"/>
      <c r="I920" s="16"/>
    </row>
    <row r="921" spans="1:9" ht="24" x14ac:dyDescent="0.25">
      <c r="A921" s="28" t="s">
        <v>869</v>
      </c>
      <c r="B921" s="29">
        <v>0</v>
      </c>
      <c r="C921" s="28" t="s">
        <v>104</v>
      </c>
      <c r="D921" s="29">
        <v>0</v>
      </c>
      <c r="E921" s="29">
        <f>B921-F921</f>
        <v>0</v>
      </c>
      <c r="F921" s="29">
        <v>0</v>
      </c>
      <c r="G921" s="30">
        <v>0</v>
      </c>
      <c r="H921" s="22"/>
      <c r="I921" s="16"/>
    </row>
    <row r="922" spans="1:9" ht="24" x14ac:dyDescent="0.25">
      <c r="A922" s="28" t="s">
        <v>870</v>
      </c>
      <c r="B922" s="29">
        <v>0</v>
      </c>
      <c r="C922" s="28" t="s">
        <v>104</v>
      </c>
      <c r="D922" s="29">
        <v>0</v>
      </c>
      <c r="E922" s="29">
        <f>B922-F922</f>
        <v>0</v>
      </c>
      <c r="F922" s="29">
        <v>0</v>
      </c>
      <c r="G922" s="30">
        <v>0</v>
      </c>
      <c r="H922" s="22"/>
      <c r="I922" s="16"/>
    </row>
    <row r="923" spans="1:9" ht="24" x14ac:dyDescent="0.25">
      <c r="A923" s="28" t="s">
        <v>871</v>
      </c>
      <c r="B923" s="29">
        <v>0</v>
      </c>
      <c r="C923" s="28" t="s">
        <v>104</v>
      </c>
      <c r="D923" s="29">
        <v>0</v>
      </c>
      <c r="E923" s="29">
        <f>B923-F923</f>
        <v>0</v>
      </c>
      <c r="F923" s="29">
        <v>0</v>
      </c>
      <c r="G923" s="30">
        <v>0</v>
      </c>
      <c r="H923" s="22"/>
      <c r="I923" s="16"/>
    </row>
    <row r="924" spans="1:9" ht="24" x14ac:dyDescent="0.25">
      <c r="A924" s="28" t="s">
        <v>872</v>
      </c>
      <c r="B924" s="29">
        <v>0</v>
      </c>
      <c r="C924" s="28" t="s">
        <v>104</v>
      </c>
      <c r="D924" s="29">
        <v>0</v>
      </c>
      <c r="E924" s="29">
        <f>B924-F924</f>
        <v>0</v>
      </c>
      <c r="F924" s="29">
        <v>0</v>
      </c>
      <c r="G924" s="30">
        <v>0</v>
      </c>
      <c r="H924" s="22"/>
      <c r="I924" s="16"/>
    </row>
    <row r="925" spans="1:9" ht="24" x14ac:dyDescent="0.25">
      <c r="A925" s="28" t="s">
        <v>873</v>
      </c>
      <c r="B925" s="29">
        <v>0</v>
      </c>
      <c r="C925" s="28" t="s">
        <v>104</v>
      </c>
      <c r="D925" s="29">
        <v>0</v>
      </c>
      <c r="E925" s="29">
        <f>B925-F925</f>
        <v>0</v>
      </c>
      <c r="F925" s="29">
        <v>0</v>
      </c>
      <c r="G925" s="30">
        <v>0</v>
      </c>
      <c r="H925" s="22"/>
      <c r="I925" s="16"/>
    </row>
    <row r="926" spans="1:9" ht="24" x14ac:dyDescent="0.25">
      <c r="A926" s="28" t="s">
        <v>874</v>
      </c>
      <c r="B926" s="29">
        <v>0</v>
      </c>
      <c r="C926" s="28" t="s">
        <v>104</v>
      </c>
      <c r="D926" s="29">
        <v>0</v>
      </c>
      <c r="E926" s="29">
        <f>B926-F926</f>
        <v>0</v>
      </c>
      <c r="F926" s="29">
        <v>0</v>
      </c>
      <c r="G926" s="30">
        <v>0</v>
      </c>
      <c r="H926" s="22"/>
      <c r="I926" s="16"/>
    </row>
    <row r="927" spans="1:9" ht="24" x14ac:dyDescent="0.25">
      <c r="A927" s="28" t="s">
        <v>875</v>
      </c>
      <c r="B927" s="29">
        <v>0</v>
      </c>
      <c r="C927" s="28" t="s">
        <v>104</v>
      </c>
      <c r="D927" s="29">
        <v>0</v>
      </c>
      <c r="E927" s="29">
        <f>B927-F927</f>
        <v>0</v>
      </c>
      <c r="F927" s="29">
        <v>0</v>
      </c>
      <c r="G927" s="30">
        <v>0</v>
      </c>
      <c r="H927" s="22"/>
      <c r="I927" s="16"/>
    </row>
    <row r="928" spans="1:9" ht="24" x14ac:dyDescent="0.25">
      <c r="A928" s="28" t="s">
        <v>876</v>
      </c>
      <c r="B928" s="29">
        <v>0</v>
      </c>
      <c r="C928" s="28" t="s">
        <v>104</v>
      </c>
      <c r="D928" s="29">
        <v>0</v>
      </c>
      <c r="E928" s="29">
        <f>B928-F928</f>
        <v>0</v>
      </c>
      <c r="F928" s="29">
        <v>0</v>
      </c>
      <c r="G928" s="30">
        <v>0</v>
      </c>
      <c r="H928" s="22"/>
      <c r="I928" s="16"/>
    </row>
    <row r="929" spans="1:9" ht="24" x14ac:dyDescent="0.25">
      <c r="A929" s="28" t="s">
        <v>877</v>
      </c>
      <c r="B929" s="29">
        <v>0</v>
      </c>
      <c r="C929" s="28" t="s">
        <v>104</v>
      </c>
      <c r="D929" s="29">
        <v>0</v>
      </c>
      <c r="E929" s="29">
        <f>B929-F929</f>
        <v>0</v>
      </c>
      <c r="F929" s="29">
        <v>0</v>
      </c>
      <c r="G929" s="30">
        <v>0</v>
      </c>
      <c r="H929" s="22"/>
      <c r="I929" s="16"/>
    </row>
    <row r="930" spans="1:9" ht="24" x14ac:dyDescent="0.25">
      <c r="A930" s="28" t="s">
        <v>878</v>
      </c>
      <c r="B930" s="29">
        <v>0</v>
      </c>
      <c r="C930" s="28" t="s">
        <v>104</v>
      </c>
      <c r="D930" s="29">
        <v>0</v>
      </c>
      <c r="E930" s="29">
        <f>B930-F930</f>
        <v>0</v>
      </c>
      <c r="F930" s="29">
        <v>0</v>
      </c>
      <c r="G930" s="30">
        <v>0</v>
      </c>
      <c r="H930" s="22"/>
      <c r="I930" s="16"/>
    </row>
    <row r="931" spans="1:9" ht="24" x14ac:dyDescent="0.25">
      <c r="A931" s="28" t="s">
        <v>879</v>
      </c>
      <c r="B931" s="29">
        <v>0</v>
      </c>
      <c r="C931" s="28" t="s">
        <v>104</v>
      </c>
      <c r="D931" s="29">
        <v>0</v>
      </c>
      <c r="E931" s="29">
        <f>B931-F931</f>
        <v>0</v>
      </c>
      <c r="F931" s="29">
        <v>0</v>
      </c>
      <c r="G931" s="30">
        <v>0</v>
      </c>
      <c r="H931" s="22"/>
      <c r="I931" s="16"/>
    </row>
    <row r="932" spans="1:9" ht="24" x14ac:dyDescent="0.25">
      <c r="A932" s="28" t="s">
        <v>880</v>
      </c>
      <c r="B932" s="29">
        <v>0</v>
      </c>
      <c r="C932" s="28" t="s">
        <v>104</v>
      </c>
      <c r="D932" s="29">
        <v>0</v>
      </c>
      <c r="E932" s="29">
        <f>B932-F932</f>
        <v>0</v>
      </c>
      <c r="F932" s="29">
        <v>0</v>
      </c>
      <c r="G932" s="30">
        <v>0</v>
      </c>
      <c r="H932" s="22"/>
      <c r="I932" s="16"/>
    </row>
    <row r="933" spans="1:9" ht="24" x14ac:dyDescent="0.25">
      <c r="A933" s="28" t="s">
        <v>881</v>
      </c>
      <c r="B933" s="29">
        <v>0</v>
      </c>
      <c r="C933" s="28" t="s">
        <v>104</v>
      </c>
      <c r="D933" s="29">
        <v>0</v>
      </c>
      <c r="E933" s="29">
        <f>B933-F933</f>
        <v>0</v>
      </c>
      <c r="F933" s="29">
        <v>0</v>
      </c>
      <c r="G933" s="30">
        <v>0</v>
      </c>
      <c r="H933" s="22"/>
      <c r="I933" s="16"/>
    </row>
    <row r="934" spans="1:9" ht="24" x14ac:dyDescent="0.25">
      <c r="A934" s="28" t="s">
        <v>882</v>
      </c>
      <c r="B934" s="29">
        <v>0</v>
      </c>
      <c r="C934" s="28" t="s">
        <v>104</v>
      </c>
      <c r="D934" s="29">
        <v>0</v>
      </c>
      <c r="E934" s="29">
        <f>B934-F934</f>
        <v>0</v>
      </c>
      <c r="F934" s="29">
        <v>0</v>
      </c>
      <c r="G934" s="30">
        <v>0</v>
      </c>
      <c r="H934" s="22"/>
      <c r="I934" s="16"/>
    </row>
    <row r="935" spans="1:9" ht="24" x14ac:dyDescent="0.25">
      <c r="A935" s="28" t="s">
        <v>883</v>
      </c>
      <c r="B935" s="29">
        <v>0</v>
      </c>
      <c r="C935" s="28" t="s">
        <v>104</v>
      </c>
      <c r="D935" s="29">
        <v>0</v>
      </c>
      <c r="E935" s="29">
        <f>B935-F935</f>
        <v>0</v>
      </c>
      <c r="F935" s="29">
        <v>0</v>
      </c>
      <c r="G935" s="30">
        <v>0</v>
      </c>
      <c r="H935" s="22"/>
      <c r="I935" s="16"/>
    </row>
    <row r="936" spans="1:9" x14ac:dyDescent="0.25">
      <c r="A936" s="23" t="s">
        <v>884</v>
      </c>
      <c r="B936" s="24">
        <f>SUM(B937:B953)</f>
        <v>10277153500</v>
      </c>
      <c r="C936" s="25"/>
      <c r="D936" s="26"/>
      <c r="E936" s="24">
        <f>SUM(E937:E953)</f>
        <v>262549099</v>
      </c>
      <c r="F936" s="24">
        <f>SUM(F937:F953)</f>
        <v>10014604401</v>
      </c>
      <c r="G936" s="27">
        <f>AVERAGE(G938:G945,G947,G949:G950,G952:G953)</f>
        <v>100</v>
      </c>
      <c r="H936" s="22"/>
      <c r="I936" s="16"/>
    </row>
    <row r="937" spans="1:9" ht="24" x14ac:dyDescent="0.25">
      <c r="A937" s="28" t="s">
        <v>885</v>
      </c>
      <c r="B937" s="29">
        <f>195000000-195000000</f>
        <v>0</v>
      </c>
      <c r="C937" s="28" t="s">
        <v>104</v>
      </c>
      <c r="D937" s="29">
        <v>0</v>
      </c>
      <c r="E937" s="29">
        <f>B937-F937</f>
        <v>0</v>
      </c>
      <c r="F937" s="29">
        <v>0</v>
      </c>
      <c r="G937" s="30">
        <v>0</v>
      </c>
      <c r="H937" s="22"/>
      <c r="I937" s="16"/>
    </row>
    <row r="938" spans="1:9" ht="24" x14ac:dyDescent="0.25">
      <c r="A938" s="28" t="s">
        <v>886</v>
      </c>
      <c r="B938" s="29">
        <v>195000000</v>
      </c>
      <c r="C938" s="28" t="s">
        <v>104</v>
      </c>
      <c r="D938" s="29">
        <v>192068000</v>
      </c>
      <c r="E938" s="29">
        <f>B938-F938</f>
        <v>2932000</v>
      </c>
      <c r="F938" s="29">
        <v>192068000</v>
      </c>
      <c r="G938" s="30">
        <v>100</v>
      </c>
      <c r="H938" s="22"/>
      <c r="I938" s="16"/>
    </row>
    <row r="939" spans="1:9" ht="24" x14ac:dyDescent="0.25">
      <c r="A939" s="28" t="s">
        <v>887</v>
      </c>
      <c r="B939" s="29">
        <v>195000000</v>
      </c>
      <c r="C939" s="28" t="s">
        <v>104</v>
      </c>
      <c r="D939" s="29">
        <v>192493000</v>
      </c>
      <c r="E939" s="29">
        <f>B939-F939</f>
        <v>2507000</v>
      </c>
      <c r="F939" s="29">
        <v>192493000</v>
      </c>
      <c r="G939" s="30">
        <v>100</v>
      </c>
      <c r="H939" s="22"/>
      <c r="I939" s="16"/>
    </row>
    <row r="940" spans="1:9" ht="24" x14ac:dyDescent="0.25">
      <c r="A940" s="28" t="s">
        <v>888</v>
      </c>
      <c r="B940" s="29">
        <v>195000000</v>
      </c>
      <c r="C940" s="28" t="s">
        <v>104</v>
      </c>
      <c r="D940" s="29">
        <v>192249000</v>
      </c>
      <c r="E940" s="29">
        <f>B940-F940</f>
        <v>2751000</v>
      </c>
      <c r="F940" s="29">
        <v>192249000</v>
      </c>
      <c r="G940" s="30">
        <v>100</v>
      </c>
      <c r="H940" s="22"/>
      <c r="I940" s="16"/>
    </row>
    <row r="941" spans="1:9" ht="24" x14ac:dyDescent="0.25">
      <c r="A941" s="28" t="s">
        <v>889</v>
      </c>
      <c r="B941" s="29">
        <v>480000000</v>
      </c>
      <c r="C941" s="28" t="s">
        <v>104</v>
      </c>
      <c r="D941" s="29">
        <v>474306925</v>
      </c>
      <c r="E941" s="29">
        <f>B941-F941</f>
        <v>5693075</v>
      </c>
      <c r="F941" s="29">
        <v>474306925</v>
      </c>
      <c r="G941" s="30">
        <v>100</v>
      </c>
      <c r="H941" s="22"/>
      <c r="I941" s="16"/>
    </row>
    <row r="942" spans="1:9" ht="24" x14ac:dyDescent="0.25">
      <c r="A942" s="28" t="s">
        <v>890</v>
      </c>
      <c r="B942" s="29">
        <v>195000000</v>
      </c>
      <c r="C942" s="28" t="s">
        <v>104</v>
      </c>
      <c r="D942" s="29">
        <v>192441000</v>
      </c>
      <c r="E942" s="29">
        <f>B942-F942</f>
        <v>2559000</v>
      </c>
      <c r="F942" s="29">
        <v>192441000</v>
      </c>
      <c r="G942" s="30">
        <v>100</v>
      </c>
      <c r="H942" s="22"/>
      <c r="I942" s="16"/>
    </row>
    <row r="943" spans="1:9" ht="24" x14ac:dyDescent="0.25">
      <c r="A943" s="28" t="s">
        <v>891</v>
      </c>
      <c r="B943" s="29">
        <v>172000000</v>
      </c>
      <c r="C943" s="28" t="s">
        <v>104</v>
      </c>
      <c r="D943" s="29">
        <v>168682000</v>
      </c>
      <c r="E943" s="29">
        <f>B943-F943</f>
        <v>3318000</v>
      </c>
      <c r="F943" s="29">
        <v>168682000</v>
      </c>
      <c r="G943" s="30">
        <v>100</v>
      </c>
      <c r="H943" s="22"/>
      <c r="I943" s="16"/>
    </row>
    <row r="944" spans="1:9" ht="24" x14ac:dyDescent="0.25">
      <c r="A944" s="28" t="s">
        <v>892</v>
      </c>
      <c r="B944" s="29">
        <v>30000000</v>
      </c>
      <c r="C944" s="28" t="s">
        <v>111</v>
      </c>
      <c r="D944" s="29">
        <v>28693000</v>
      </c>
      <c r="E944" s="29">
        <f>B944-F944</f>
        <v>1307000</v>
      </c>
      <c r="F944" s="29">
        <v>28693000</v>
      </c>
      <c r="G944" s="30">
        <f>G947</f>
        <v>100</v>
      </c>
      <c r="H944" s="22"/>
      <c r="I944" s="16"/>
    </row>
    <row r="945" spans="1:9" ht="24" x14ac:dyDescent="0.25">
      <c r="A945" s="28" t="s">
        <v>893</v>
      </c>
      <c r="B945" s="29">
        <v>40000000</v>
      </c>
      <c r="C945" s="28" t="s">
        <v>111</v>
      </c>
      <c r="D945" s="29">
        <v>38239500</v>
      </c>
      <c r="E945" s="29">
        <f>B945-F945</f>
        <v>1760500</v>
      </c>
      <c r="F945" s="29">
        <v>38239500</v>
      </c>
      <c r="G945" s="30">
        <v>100</v>
      </c>
      <c r="H945" s="22"/>
      <c r="I945" s="16"/>
    </row>
    <row r="946" spans="1:9" ht="24" x14ac:dyDescent="0.25">
      <c r="A946" s="28" t="s">
        <v>894</v>
      </c>
      <c r="B946" s="29">
        <f>50000000-50000000</f>
        <v>0</v>
      </c>
      <c r="C946" s="28" t="s">
        <v>111</v>
      </c>
      <c r="D946" s="29">
        <v>0</v>
      </c>
      <c r="E946" s="29">
        <f>B946-F946</f>
        <v>0</v>
      </c>
      <c r="F946" s="29">
        <v>0</v>
      </c>
      <c r="G946" s="30">
        <v>0</v>
      </c>
      <c r="H946" s="22"/>
      <c r="I946" s="16"/>
    </row>
    <row r="947" spans="1:9" ht="24" x14ac:dyDescent="0.25">
      <c r="A947" s="28" t="s">
        <v>895</v>
      </c>
      <c r="B947" s="29">
        <v>600000000</v>
      </c>
      <c r="C947" s="28" t="s">
        <v>104</v>
      </c>
      <c r="D947" s="29">
        <v>593768000</v>
      </c>
      <c r="E947" s="29">
        <f>B947-F947</f>
        <v>6232000</v>
      </c>
      <c r="F947" s="29">
        <v>593768000</v>
      </c>
      <c r="G947" s="30">
        <v>100</v>
      </c>
      <c r="H947" s="22"/>
      <c r="I947" s="16"/>
    </row>
    <row r="948" spans="1:9" ht="24" x14ac:dyDescent="0.25">
      <c r="A948" s="28" t="s">
        <v>896</v>
      </c>
      <c r="B948" s="29">
        <f>1795000000-1795000000</f>
        <v>0</v>
      </c>
      <c r="C948" s="28" t="s">
        <v>104</v>
      </c>
      <c r="D948" s="29">
        <v>0</v>
      </c>
      <c r="E948" s="29">
        <f>B948-F948</f>
        <v>0</v>
      </c>
      <c r="F948" s="29">
        <v>0</v>
      </c>
      <c r="G948" s="30">
        <v>0</v>
      </c>
      <c r="H948" s="22"/>
      <c r="I948" s="16"/>
    </row>
    <row r="949" spans="1:9" ht="24" x14ac:dyDescent="0.25">
      <c r="A949" s="28" t="s">
        <v>897</v>
      </c>
      <c r="B949" s="29">
        <v>50000000</v>
      </c>
      <c r="C949" s="28" t="s">
        <v>111</v>
      </c>
      <c r="D949" s="29">
        <v>46930000</v>
      </c>
      <c r="E949" s="29">
        <f>B949-F949</f>
        <v>3070000</v>
      </c>
      <c r="F949" s="29">
        <v>46930000</v>
      </c>
      <c r="G949" s="30">
        <v>100</v>
      </c>
      <c r="H949" s="22"/>
      <c r="I949" s="16"/>
    </row>
    <row r="950" spans="1:9" ht="24" x14ac:dyDescent="0.25">
      <c r="A950" s="28" t="s">
        <v>898</v>
      </c>
      <c r="B950" s="29">
        <v>1795000000</v>
      </c>
      <c r="C950" s="28" t="s">
        <v>104</v>
      </c>
      <c r="D950" s="29">
        <v>1751570130</v>
      </c>
      <c r="E950" s="29">
        <f>B950-F950</f>
        <v>43429870</v>
      </c>
      <c r="F950" s="29">
        <v>1751570130</v>
      </c>
      <c r="G950" s="30">
        <v>100</v>
      </c>
      <c r="H950" s="22"/>
      <c r="I950" s="16"/>
    </row>
    <row r="951" spans="1:9" x14ac:dyDescent="0.25">
      <c r="A951" s="28" t="s">
        <v>899</v>
      </c>
      <c r="B951" s="29">
        <f>58000000</f>
        <v>58000000</v>
      </c>
      <c r="C951" s="28" t="s">
        <v>15</v>
      </c>
      <c r="D951" s="29">
        <f>F951</f>
        <v>28767000</v>
      </c>
      <c r="E951" s="29">
        <f>B951-F951</f>
        <v>29233000</v>
      </c>
      <c r="F951" s="29">
        <v>28767000</v>
      </c>
      <c r="G951" s="30">
        <f>F951/B951*100</f>
        <v>49.598275862068967</v>
      </c>
      <c r="H951" s="22"/>
      <c r="I951" s="16"/>
    </row>
    <row r="952" spans="1:9" ht="24" x14ac:dyDescent="0.25">
      <c r="A952" s="28" t="s">
        <v>900</v>
      </c>
      <c r="B952" s="29">
        <v>6187153500</v>
      </c>
      <c r="C952" s="28" t="s">
        <v>104</v>
      </c>
      <c r="D952" s="29">
        <v>6030919846</v>
      </c>
      <c r="E952" s="29">
        <f>B952-F952</f>
        <v>156233654</v>
      </c>
      <c r="F952" s="29">
        <v>6030919846</v>
      </c>
      <c r="G952" s="30">
        <v>100</v>
      </c>
      <c r="H952" s="22"/>
      <c r="I952" s="16"/>
    </row>
    <row r="953" spans="1:9" ht="24" x14ac:dyDescent="0.25">
      <c r="A953" s="28" t="s">
        <v>901</v>
      </c>
      <c r="B953" s="29">
        <v>85000000</v>
      </c>
      <c r="C953" s="28" t="s">
        <v>111</v>
      </c>
      <c r="D953" s="29">
        <v>83477000</v>
      </c>
      <c r="E953" s="29">
        <f>B953-F953</f>
        <v>1523000</v>
      </c>
      <c r="F953" s="29">
        <v>83477000</v>
      </c>
      <c r="G953" s="30">
        <f>G952</f>
        <v>100</v>
      </c>
      <c r="H953" s="22"/>
      <c r="I953" s="16"/>
    </row>
    <row r="954" spans="1:9" x14ac:dyDescent="0.25">
      <c r="A954" s="23" t="s">
        <v>902</v>
      </c>
      <c r="B954" s="24">
        <f>SUM(B955:C975)</f>
        <v>3161725000</v>
      </c>
      <c r="C954" s="25"/>
      <c r="D954" s="26"/>
      <c r="E954" s="24">
        <f>SUM(E955:E975)</f>
        <v>66663000</v>
      </c>
      <c r="F954" s="24">
        <f>SUM(F955:F975)</f>
        <v>3095062000</v>
      </c>
      <c r="G954" s="27">
        <f>AVERAGE(G955:G975)</f>
        <v>99.053119404557108</v>
      </c>
      <c r="H954" s="16"/>
      <c r="I954" s="16"/>
    </row>
    <row r="955" spans="1:9" ht="24" x14ac:dyDescent="0.25">
      <c r="A955" s="28" t="s">
        <v>903</v>
      </c>
      <c r="B955" s="29">
        <v>130000000</v>
      </c>
      <c r="C955" s="28" t="s">
        <v>104</v>
      </c>
      <c r="D955" s="29">
        <v>127941000</v>
      </c>
      <c r="E955" s="29">
        <f>B955-F955</f>
        <v>2059000</v>
      </c>
      <c r="F955" s="29">
        <v>127941000</v>
      </c>
      <c r="G955" s="30">
        <v>100</v>
      </c>
      <c r="H955" s="22"/>
      <c r="I955" s="16"/>
    </row>
    <row r="956" spans="1:9" ht="24" x14ac:dyDescent="0.25">
      <c r="A956" s="28" t="s">
        <v>904</v>
      </c>
      <c r="B956" s="29">
        <v>200000000</v>
      </c>
      <c r="C956" s="28" t="s">
        <v>104</v>
      </c>
      <c r="D956" s="29">
        <v>198018000</v>
      </c>
      <c r="E956" s="29">
        <f>B956-F956</f>
        <v>1982000</v>
      </c>
      <c r="F956" s="29">
        <v>198018000</v>
      </c>
      <c r="G956" s="30">
        <v>100</v>
      </c>
      <c r="H956" s="22"/>
      <c r="I956" s="16"/>
    </row>
    <row r="957" spans="1:9" ht="24" x14ac:dyDescent="0.25">
      <c r="A957" s="28" t="s">
        <v>905</v>
      </c>
      <c r="B957" s="29">
        <f>250000000+50000000</f>
        <v>300000000</v>
      </c>
      <c r="C957" s="28" t="s">
        <v>104</v>
      </c>
      <c r="D957" s="29">
        <v>289795000</v>
      </c>
      <c r="E957" s="29">
        <f>B957-F957</f>
        <v>10205000</v>
      </c>
      <c r="F957" s="29">
        <v>289795000</v>
      </c>
      <c r="G957" s="30">
        <v>100</v>
      </c>
      <c r="H957" s="22"/>
      <c r="I957" s="16"/>
    </row>
    <row r="958" spans="1:9" ht="24" x14ac:dyDescent="0.25">
      <c r="A958" s="28" t="s">
        <v>906</v>
      </c>
      <c r="B958" s="29">
        <v>200000000</v>
      </c>
      <c r="C958" s="28" t="s">
        <v>104</v>
      </c>
      <c r="D958" s="29">
        <v>198036000</v>
      </c>
      <c r="E958" s="29">
        <f>B958-F958</f>
        <v>1964000</v>
      </c>
      <c r="F958" s="29">
        <v>198036000</v>
      </c>
      <c r="G958" s="30">
        <v>100</v>
      </c>
      <c r="H958" s="22"/>
      <c r="I958" s="16"/>
    </row>
    <row r="959" spans="1:9" ht="24" x14ac:dyDescent="0.25">
      <c r="A959" s="28" t="s">
        <v>907</v>
      </c>
      <c r="B959" s="29">
        <v>100000000</v>
      </c>
      <c r="C959" s="28" t="s">
        <v>104</v>
      </c>
      <c r="D959" s="29">
        <v>98940000</v>
      </c>
      <c r="E959" s="29">
        <f>B959-F959</f>
        <v>1060000</v>
      </c>
      <c r="F959" s="29">
        <v>98940000</v>
      </c>
      <c r="G959" s="30">
        <v>100</v>
      </c>
      <c r="H959" s="22"/>
      <c r="I959" s="16"/>
    </row>
    <row r="960" spans="1:9" ht="24" x14ac:dyDescent="0.25">
      <c r="A960" s="28" t="s">
        <v>908</v>
      </c>
      <c r="B960" s="29">
        <v>200000000</v>
      </c>
      <c r="C960" s="28" t="s">
        <v>104</v>
      </c>
      <c r="D960" s="29">
        <v>197226000</v>
      </c>
      <c r="E960" s="29">
        <f>B960-F960</f>
        <v>2774000</v>
      </c>
      <c r="F960" s="29">
        <v>197226000</v>
      </c>
      <c r="G960" s="30">
        <v>100</v>
      </c>
      <c r="H960" s="22"/>
      <c r="I960" s="16"/>
    </row>
    <row r="961" spans="1:14" ht="29.25" customHeight="1" x14ac:dyDescent="0.25">
      <c r="A961" s="28" t="s">
        <v>909</v>
      </c>
      <c r="B961" s="29">
        <v>100000000</v>
      </c>
      <c r="C961" s="28" t="s">
        <v>104</v>
      </c>
      <c r="D961" s="29">
        <v>99121000</v>
      </c>
      <c r="E961" s="29">
        <f>B961-F961</f>
        <v>879000</v>
      </c>
      <c r="F961" s="29">
        <v>99121000</v>
      </c>
      <c r="G961" s="30">
        <v>100</v>
      </c>
      <c r="H961" s="22"/>
      <c r="I961" s="16"/>
    </row>
    <row r="962" spans="1:14" ht="24" x14ac:dyDescent="0.25">
      <c r="A962" s="28" t="s">
        <v>910</v>
      </c>
      <c r="B962" s="29">
        <v>200000000</v>
      </c>
      <c r="C962" s="28" t="s">
        <v>104</v>
      </c>
      <c r="D962" s="29">
        <v>197877000</v>
      </c>
      <c r="E962" s="29">
        <f>B962-F962</f>
        <v>2123000</v>
      </c>
      <c r="F962" s="29">
        <v>197877000</v>
      </c>
      <c r="G962" s="30">
        <v>100</v>
      </c>
      <c r="H962" s="22"/>
      <c r="I962" s="16"/>
    </row>
    <row r="963" spans="1:14" ht="24" x14ac:dyDescent="0.25">
      <c r="A963" s="28" t="s">
        <v>911</v>
      </c>
      <c r="B963" s="29">
        <v>200000000</v>
      </c>
      <c r="C963" s="28" t="s">
        <v>104</v>
      </c>
      <c r="D963" s="29">
        <v>197689000</v>
      </c>
      <c r="E963" s="29">
        <f>B963-F963</f>
        <v>2311000</v>
      </c>
      <c r="F963" s="29">
        <v>197689000</v>
      </c>
      <c r="G963" s="30">
        <v>100</v>
      </c>
      <c r="H963" s="22"/>
      <c r="I963" s="16"/>
    </row>
    <row r="964" spans="1:14" ht="24" x14ac:dyDescent="0.25">
      <c r="A964" s="28" t="s">
        <v>912</v>
      </c>
      <c r="B964" s="29">
        <v>200000000</v>
      </c>
      <c r="C964" s="28" t="s">
        <v>104</v>
      </c>
      <c r="D964" s="29">
        <v>198000000</v>
      </c>
      <c r="E964" s="29">
        <f>B964-F964</f>
        <v>2000000</v>
      </c>
      <c r="F964" s="29">
        <v>198000000</v>
      </c>
      <c r="G964" s="30">
        <v>100</v>
      </c>
      <c r="H964" s="22"/>
      <c r="I964" s="16"/>
    </row>
    <row r="965" spans="1:14" ht="24" x14ac:dyDescent="0.25">
      <c r="A965" s="28" t="s">
        <v>913</v>
      </c>
      <c r="B965" s="29">
        <v>100000000</v>
      </c>
      <c r="C965" s="28" t="s">
        <v>104</v>
      </c>
      <c r="D965" s="29">
        <v>98107000</v>
      </c>
      <c r="E965" s="29">
        <f>B965-F965</f>
        <v>1893000</v>
      </c>
      <c r="F965" s="29">
        <v>98107000</v>
      </c>
      <c r="G965" s="30">
        <v>100</v>
      </c>
      <c r="H965" s="22"/>
      <c r="I965" s="16"/>
    </row>
    <row r="966" spans="1:14" ht="24" x14ac:dyDescent="0.25">
      <c r="A966" s="28" t="s">
        <v>914</v>
      </c>
      <c r="B966" s="29">
        <v>100000000</v>
      </c>
      <c r="C966" s="28" t="s">
        <v>104</v>
      </c>
      <c r="D966" s="29">
        <v>99461000</v>
      </c>
      <c r="E966" s="29">
        <f>B966-F966</f>
        <v>539000</v>
      </c>
      <c r="F966" s="29">
        <v>99461000</v>
      </c>
      <c r="G966" s="30">
        <v>100</v>
      </c>
      <c r="H966" s="22"/>
      <c r="I966" s="16"/>
    </row>
    <row r="967" spans="1:14" s="32" customFormat="1" ht="24" x14ac:dyDescent="0.25">
      <c r="A967" s="28" t="s">
        <v>915</v>
      </c>
      <c r="B967" s="29">
        <v>150000000</v>
      </c>
      <c r="C967" s="28" t="s">
        <v>104</v>
      </c>
      <c r="D967" s="29">
        <v>147849000</v>
      </c>
      <c r="E967" s="29">
        <f>B967-F967</f>
        <v>2151000</v>
      </c>
      <c r="F967" s="29">
        <v>147849000</v>
      </c>
      <c r="G967" s="30">
        <v>100</v>
      </c>
      <c r="H967" s="22"/>
      <c r="I967" s="16"/>
      <c r="J967" s="4"/>
      <c r="K967" s="4"/>
      <c r="L967" s="4"/>
      <c r="M967" s="4"/>
      <c r="N967" s="4"/>
    </row>
    <row r="968" spans="1:14" ht="24" x14ac:dyDescent="0.25">
      <c r="A968" s="28" t="s">
        <v>916</v>
      </c>
      <c r="B968" s="29">
        <v>100000000</v>
      </c>
      <c r="C968" s="28" t="s">
        <v>104</v>
      </c>
      <c r="D968" s="29">
        <v>98718500</v>
      </c>
      <c r="E968" s="29">
        <f>B968-F968</f>
        <v>1281500</v>
      </c>
      <c r="F968" s="29">
        <v>98718500</v>
      </c>
      <c r="G968" s="30">
        <v>100</v>
      </c>
      <c r="H968" s="22"/>
      <c r="I968" s="16"/>
    </row>
    <row r="969" spans="1:14" ht="24" x14ac:dyDescent="0.25">
      <c r="A969" s="28" t="s">
        <v>917</v>
      </c>
      <c r="B969" s="29">
        <v>120000000</v>
      </c>
      <c r="C969" s="28" t="s">
        <v>104</v>
      </c>
      <c r="D969" s="29">
        <v>118866000</v>
      </c>
      <c r="E969" s="29">
        <f>B969-F969</f>
        <v>1134000</v>
      </c>
      <c r="F969" s="29">
        <v>118866000</v>
      </c>
      <c r="G969" s="30">
        <v>100</v>
      </c>
      <c r="H969" s="22"/>
      <c r="I969" s="16"/>
    </row>
    <row r="970" spans="1:14" ht="24" x14ac:dyDescent="0.25">
      <c r="A970" s="28" t="s">
        <v>918</v>
      </c>
      <c r="B970" s="29">
        <v>200000000</v>
      </c>
      <c r="C970" s="28" t="s">
        <v>104</v>
      </c>
      <c r="D970" s="29">
        <v>197993000</v>
      </c>
      <c r="E970" s="29">
        <f>B970-F970</f>
        <v>2007000</v>
      </c>
      <c r="F970" s="29">
        <v>197993000</v>
      </c>
      <c r="G970" s="30">
        <v>100</v>
      </c>
      <c r="H970" s="22"/>
      <c r="I970" s="16"/>
      <c r="J970" s="32"/>
      <c r="K970" s="32"/>
      <c r="L970" s="32"/>
      <c r="M970" s="32"/>
      <c r="N970" s="32"/>
    </row>
    <row r="971" spans="1:14" ht="24" x14ac:dyDescent="0.25">
      <c r="A971" s="28" t="s">
        <v>919</v>
      </c>
      <c r="B971" s="29">
        <v>100000000</v>
      </c>
      <c r="C971" s="28" t="s">
        <v>104</v>
      </c>
      <c r="D971" s="29">
        <v>98637000</v>
      </c>
      <c r="E971" s="29">
        <f>B971-F971</f>
        <v>1363000</v>
      </c>
      <c r="F971" s="29">
        <v>98637000</v>
      </c>
      <c r="G971" s="30">
        <v>100</v>
      </c>
      <c r="H971" s="22"/>
      <c r="I971" s="16"/>
    </row>
    <row r="972" spans="1:14" ht="24" x14ac:dyDescent="0.25">
      <c r="A972" s="28" t="s">
        <v>920</v>
      </c>
      <c r="B972" s="29">
        <v>100000000</v>
      </c>
      <c r="C972" s="28" t="s">
        <v>104</v>
      </c>
      <c r="D972" s="29">
        <v>99075000</v>
      </c>
      <c r="E972" s="29">
        <f>B972-F972</f>
        <v>925000</v>
      </c>
      <c r="F972" s="29">
        <v>99075000</v>
      </c>
      <c r="G972" s="30">
        <v>100</v>
      </c>
      <c r="H972" s="22"/>
      <c r="I972" s="16"/>
    </row>
    <row r="973" spans="1:14" x14ac:dyDescent="0.25">
      <c r="A973" s="28" t="s">
        <v>921</v>
      </c>
      <c r="B973" s="29">
        <f>30000000+58690000+4788000+5222000+3025000</f>
        <v>101725000</v>
      </c>
      <c r="C973" s="28" t="s">
        <v>15</v>
      </c>
      <c r="D973" s="29">
        <f>F973</f>
        <v>81497500</v>
      </c>
      <c r="E973" s="29">
        <f>B973-F973</f>
        <v>20227500</v>
      </c>
      <c r="F973" s="29">
        <f>9309000+42188500+30000000</f>
        <v>81497500</v>
      </c>
      <c r="G973" s="30">
        <f>F973/B973*100</f>
        <v>80.115507495699191</v>
      </c>
      <c r="H973" s="22"/>
      <c r="I973" s="16"/>
    </row>
    <row r="974" spans="1:14" ht="24" x14ac:dyDescent="0.25">
      <c r="A974" s="28" t="s">
        <v>922</v>
      </c>
      <c r="B974" s="29">
        <v>60000000</v>
      </c>
      <c r="C974" s="28" t="s">
        <v>111</v>
      </c>
      <c r="D974" s="29">
        <v>55167000</v>
      </c>
      <c r="E974" s="29">
        <f>B974-F974</f>
        <v>4833000</v>
      </c>
      <c r="F974" s="29">
        <v>55167000</v>
      </c>
      <c r="G974" s="30">
        <v>100</v>
      </c>
      <c r="H974" s="22"/>
      <c r="I974" s="16"/>
    </row>
    <row r="975" spans="1:14" ht="24" x14ac:dyDescent="0.25">
      <c r="A975" s="28" t="s">
        <v>923</v>
      </c>
      <c r="B975" s="29">
        <v>200000000</v>
      </c>
      <c r="C975" s="28" t="s">
        <v>104</v>
      </c>
      <c r="D975" s="29">
        <v>197048000</v>
      </c>
      <c r="E975" s="29">
        <f>B975-F975</f>
        <v>2952000</v>
      </c>
      <c r="F975" s="29">
        <v>197048000</v>
      </c>
      <c r="G975" s="30">
        <v>100</v>
      </c>
      <c r="H975" s="22"/>
      <c r="I975" s="16"/>
    </row>
    <row r="976" spans="1:14" x14ac:dyDescent="0.25">
      <c r="A976" s="23" t="s">
        <v>924</v>
      </c>
      <c r="B976" s="24">
        <f>SUM(B977:B1002)</f>
        <v>16857000000</v>
      </c>
      <c r="C976" s="25"/>
      <c r="D976" s="26"/>
      <c r="E976" s="24">
        <f>SUM(E977:E1002)</f>
        <v>1484194371</v>
      </c>
      <c r="F976" s="24">
        <f>SUM(F977:F1002)</f>
        <v>15372805629</v>
      </c>
      <c r="G976" s="27">
        <f>AVERAGE(G977,G979:G994,G996:G1002)</f>
        <v>98.037500000000009</v>
      </c>
      <c r="H976" s="16"/>
      <c r="I976" s="16"/>
    </row>
    <row r="977" spans="1:9" ht="24" x14ac:dyDescent="0.25">
      <c r="A977" s="28" t="s">
        <v>925</v>
      </c>
      <c r="B977" s="29">
        <v>195000000</v>
      </c>
      <c r="C977" s="28" t="s">
        <v>104</v>
      </c>
      <c r="D977" s="29">
        <v>192181000</v>
      </c>
      <c r="E977" s="29">
        <f>B977-F977</f>
        <v>2819000</v>
      </c>
      <c r="F977" s="29">
        <v>192181000</v>
      </c>
      <c r="G977" s="30">
        <v>100</v>
      </c>
      <c r="H977" s="22"/>
      <c r="I977" s="16"/>
    </row>
    <row r="978" spans="1:9" ht="24" x14ac:dyDescent="0.25">
      <c r="A978" s="28" t="s">
        <v>926</v>
      </c>
      <c r="B978" s="29">
        <f>390000000-390000000</f>
        <v>0</v>
      </c>
      <c r="C978" s="28" t="s">
        <v>104</v>
      </c>
      <c r="D978" s="29">
        <v>0</v>
      </c>
      <c r="E978" s="29">
        <f>B978-F978</f>
        <v>0</v>
      </c>
      <c r="F978" s="29">
        <v>0</v>
      </c>
      <c r="G978" s="30">
        <v>0</v>
      </c>
      <c r="H978" s="22"/>
      <c r="I978" s="16"/>
    </row>
    <row r="979" spans="1:9" ht="24" x14ac:dyDescent="0.25">
      <c r="A979" s="28" t="s">
        <v>927</v>
      </c>
      <c r="B979" s="29">
        <v>485000000</v>
      </c>
      <c r="C979" s="28" t="s">
        <v>104</v>
      </c>
      <c r="D979" s="29">
        <v>478473100</v>
      </c>
      <c r="E979" s="29">
        <f>B979-F979</f>
        <v>6526900</v>
      </c>
      <c r="F979" s="29">
        <v>478473100</v>
      </c>
      <c r="G979" s="30">
        <v>100</v>
      </c>
      <c r="H979" s="22"/>
      <c r="I979" s="16"/>
    </row>
    <row r="980" spans="1:9" ht="24" x14ac:dyDescent="0.25">
      <c r="A980" s="28" t="s">
        <v>928</v>
      </c>
      <c r="B980" s="29">
        <v>550000000</v>
      </c>
      <c r="C980" s="28" t="s">
        <v>104</v>
      </c>
      <c r="D980" s="29">
        <v>546333697</v>
      </c>
      <c r="E980" s="29">
        <f>B980-F980</f>
        <v>3666303</v>
      </c>
      <c r="F980" s="29">
        <f>163900109+382433588</f>
        <v>546333697</v>
      </c>
      <c r="G980" s="30">
        <v>100</v>
      </c>
      <c r="H980" s="22"/>
      <c r="I980" s="16"/>
    </row>
    <row r="981" spans="1:9" ht="24" x14ac:dyDescent="0.25">
      <c r="A981" s="28" t="s">
        <v>929</v>
      </c>
      <c r="B981" s="29">
        <v>3000000000</v>
      </c>
      <c r="C981" s="28" t="s">
        <v>104</v>
      </c>
      <c r="D981" s="29">
        <v>2958814920</v>
      </c>
      <c r="E981" s="29">
        <f>B981-F981</f>
        <v>1076770302</v>
      </c>
      <c r="F981" s="29">
        <f>887644476+1035585222</f>
        <v>1923229698</v>
      </c>
      <c r="G981" s="30">
        <v>76.45</v>
      </c>
      <c r="H981" s="22"/>
      <c r="I981" s="16"/>
    </row>
    <row r="982" spans="1:9" ht="24" x14ac:dyDescent="0.25">
      <c r="A982" s="28" t="s">
        <v>930</v>
      </c>
      <c r="B982" s="29">
        <v>147000000</v>
      </c>
      <c r="C982" s="28" t="s">
        <v>104</v>
      </c>
      <c r="D982" s="29">
        <v>145510000</v>
      </c>
      <c r="E982" s="29">
        <f>B982-F982</f>
        <v>1490000</v>
      </c>
      <c r="F982" s="29">
        <v>145510000</v>
      </c>
      <c r="G982" s="30">
        <v>100</v>
      </c>
      <c r="H982" s="22"/>
      <c r="I982" s="16"/>
    </row>
    <row r="983" spans="1:9" ht="24" x14ac:dyDescent="0.25">
      <c r="A983" s="28" t="s">
        <v>931</v>
      </c>
      <c r="B983" s="29">
        <v>195000000</v>
      </c>
      <c r="C983" s="28" t="s">
        <v>104</v>
      </c>
      <c r="D983" s="29">
        <v>192975000</v>
      </c>
      <c r="E983" s="29">
        <f>B983-F983</f>
        <v>2025000</v>
      </c>
      <c r="F983" s="29">
        <v>192975000</v>
      </c>
      <c r="G983" s="30">
        <v>100</v>
      </c>
      <c r="H983" s="22"/>
      <c r="I983" s="16"/>
    </row>
    <row r="984" spans="1:9" ht="24" x14ac:dyDescent="0.25">
      <c r="A984" s="28" t="s">
        <v>932</v>
      </c>
      <c r="B984" s="29">
        <v>195000000</v>
      </c>
      <c r="C984" s="28" t="s">
        <v>104</v>
      </c>
      <c r="D984" s="29">
        <v>192584000</v>
      </c>
      <c r="E984" s="29">
        <f>B984-F984</f>
        <v>2416000</v>
      </c>
      <c r="F984" s="29">
        <v>192584000</v>
      </c>
      <c r="G984" s="30">
        <v>100</v>
      </c>
      <c r="H984" s="22"/>
      <c r="I984" s="16"/>
    </row>
    <row r="985" spans="1:9" ht="24" x14ac:dyDescent="0.25">
      <c r="A985" s="28" t="s">
        <v>933</v>
      </c>
      <c r="B985" s="29">
        <v>3500000000</v>
      </c>
      <c r="C985" s="28" t="s">
        <v>104</v>
      </c>
      <c r="D985" s="29">
        <v>3480186630</v>
      </c>
      <c r="E985" s="29">
        <f>B985-F985</f>
        <v>19813370</v>
      </c>
      <c r="F985" s="29">
        <f>1044055989+1218065321+1218065320</f>
        <v>3480186630</v>
      </c>
      <c r="G985" s="30">
        <v>100</v>
      </c>
      <c r="H985" s="16"/>
      <c r="I985" s="16"/>
    </row>
    <row r="986" spans="1:9" ht="24" x14ac:dyDescent="0.25">
      <c r="A986" s="28" t="s">
        <v>934</v>
      </c>
      <c r="B986" s="29">
        <v>1500000000</v>
      </c>
      <c r="C986" s="28" t="s">
        <v>104</v>
      </c>
      <c r="D986" s="29">
        <v>1470592453</v>
      </c>
      <c r="E986" s="29">
        <f>B986-F986</f>
        <v>29407547</v>
      </c>
      <c r="F986" s="29">
        <f>441177736+1029414717</f>
        <v>1470592453</v>
      </c>
      <c r="G986" s="30">
        <v>100</v>
      </c>
      <c r="H986" s="22"/>
      <c r="I986" s="16"/>
    </row>
    <row r="987" spans="1:9" ht="24" x14ac:dyDescent="0.25">
      <c r="A987" s="28" t="s">
        <v>935</v>
      </c>
      <c r="B987" s="29">
        <v>1500000000</v>
      </c>
      <c r="C987" s="28" t="s">
        <v>104</v>
      </c>
      <c r="D987" s="29">
        <v>1471227800</v>
      </c>
      <c r="E987" s="29">
        <f>B987-F987</f>
        <v>28772200</v>
      </c>
      <c r="F987" s="29">
        <f>441368340+1029859460</f>
        <v>1471227800</v>
      </c>
      <c r="G987" s="30">
        <v>100</v>
      </c>
      <c r="H987" s="22"/>
      <c r="I987" s="16"/>
    </row>
    <row r="988" spans="1:9" ht="24" x14ac:dyDescent="0.25">
      <c r="A988" s="28" t="s">
        <v>936</v>
      </c>
      <c r="B988" s="29">
        <v>550000000</v>
      </c>
      <c r="C988" s="28" t="s">
        <v>104</v>
      </c>
      <c r="D988" s="29">
        <v>533107951</v>
      </c>
      <c r="E988" s="29">
        <f>B988-F988</f>
        <v>16892049</v>
      </c>
      <c r="F988" s="29">
        <f>159932385+373175566</f>
        <v>533107951</v>
      </c>
      <c r="G988" s="30">
        <v>100</v>
      </c>
      <c r="H988" s="22"/>
      <c r="I988" s="16"/>
    </row>
    <row r="989" spans="1:9" ht="24" x14ac:dyDescent="0.25">
      <c r="A989" s="28" t="s">
        <v>937</v>
      </c>
      <c r="B989" s="29">
        <v>900000000</v>
      </c>
      <c r="C989" s="28" t="s">
        <v>104</v>
      </c>
      <c r="D989" s="29">
        <v>890063400</v>
      </c>
      <c r="E989" s="29">
        <f>B989-F989</f>
        <v>9936600</v>
      </c>
      <c r="F989" s="29">
        <v>890063400</v>
      </c>
      <c r="G989" s="30">
        <v>100</v>
      </c>
      <c r="H989" s="22"/>
      <c r="I989" s="16"/>
    </row>
    <row r="990" spans="1:9" ht="24" x14ac:dyDescent="0.25">
      <c r="A990" s="28" t="s">
        <v>938</v>
      </c>
      <c r="B990" s="29">
        <v>195000000</v>
      </c>
      <c r="C990" s="28" t="s">
        <v>104</v>
      </c>
      <c r="D990" s="29">
        <v>192892000</v>
      </c>
      <c r="E990" s="29">
        <f>B990-F990</f>
        <v>2108000</v>
      </c>
      <c r="F990" s="29">
        <v>192892000</v>
      </c>
      <c r="G990" s="30">
        <v>100</v>
      </c>
      <c r="H990" s="22"/>
      <c r="I990" s="16"/>
    </row>
    <row r="991" spans="1:9" ht="27.75" customHeight="1" x14ac:dyDescent="0.25">
      <c r="A991" s="28" t="s">
        <v>939</v>
      </c>
      <c r="B991" s="29">
        <v>60000000</v>
      </c>
      <c r="C991" s="28" t="s">
        <v>111</v>
      </c>
      <c r="D991" s="29">
        <v>58297200</v>
      </c>
      <c r="E991" s="29">
        <f>B991-F991</f>
        <v>60000000</v>
      </c>
      <c r="F991" s="29">
        <v>0</v>
      </c>
      <c r="G991" s="30">
        <f>G981</f>
        <v>76.45</v>
      </c>
      <c r="H991" s="22"/>
      <c r="I991" s="16"/>
    </row>
    <row r="992" spans="1:9" ht="24" x14ac:dyDescent="0.25">
      <c r="A992" s="28" t="s">
        <v>940</v>
      </c>
      <c r="B992" s="29">
        <v>70000000</v>
      </c>
      <c r="C992" s="28" t="s">
        <v>111</v>
      </c>
      <c r="D992" s="29">
        <v>67044000</v>
      </c>
      <c r="E992" s="29">
        <f>B992-F992</f>
        <v>2956000</v>
      </c>
      <c r="F992" s="29">
        <v>67044000</v>
      </c>
      <c r="G992" s="30">
        <f>G985</f>
        <v>100</v>
      </c>
      <c r="H992" s="22"/>
      <c r="I992" s="16"/>
    </row>
    <row r="993" spans="1:9" ht="24" x14ac:dyDescent="0.25">
      <c r="A993" s="28" t="s">
        <v>941</v>
      </c>
      <c r="B993" s="29">
        <v>80000000</v>
      </c>
      <c r="C993" s="28" t="s">
        <v>111</v>
      </c>
      <c r="D993" s="29">
        <v>74758500</v>
      </c>
      <c r="E993" s="29">
        <f>B993-F993</f>
        <v>5241500</v>
      </c>
      <c r="F993" s="29">
        <v>74758500</v>
      </c>
      <c r="G993" s="30">
        <v>100</v>
      </c>
      <c r="H993" s="22"/>
      <c r="I993" s="16"/>
    </row>
    <row r="994" spans="1:9" ht="24" x14ac:dyDescent="0.25">
      <c r="A994" s="28" t="s">
        <v>942</v>
      </c>
      <c r="B994" s="29">
        <v>60000000</v>
      </c>
      <c r="C994" s="28" t="s">
        <v>111</v>
      </c>
      <c r="D994" s="29">
        <v>57109500</v>
      </c>
      <c r="E994" s="29">
        <f>B994-F994</f>
        <v>2890500</v>
      </c>
      <c r="F994" s="29">
        <v>57109500</v>
      </c>
      <c r="G994" s="30">
        <v>100</v>
      </c>
      <c r="H994" s="22"/>
      <c r="I994" s="16"/>
    </row>
    <row r="995" spans="1:9" x14ac:dyDescent="0.25">
      <c r="A995" s="28" t="s">
        <v>921</v>
      </c>
      <c r="B995" s="29">
        <f>1980000+2550000+664000+177806000</f>
        <v>183000000</v>
      </c>
      <c r="C995" s="28" t="s">
        <v>15</v>
      </c>
      <c r="D995" s="29">
        <f>F995</f>
        <v>90545500</v>
      </c>
      <c r="E995" s="29">
        <f>B995-F995</f>
        <v>92454500</v>
      </c>
      <c r="F995" s="29">
        <f>5190000+85355500</f>
        <v>90545500</v>
      </c>
      <c r="G995" s="30">
        <f>F995/B995*100</f>
        <v>49.478415300546445</v>
      </c>
      <c r="H995" s="22"/>
      <c r="I995" s="16"/>
    </row>
    <row r="996" spans="1:9" ht="36" x14ac:dyDescent="0.25">
      <c r="A996" s="28" t="s">
        <v>943</v>
      </c>
      <c r="B996" s="29">
        <v>826000000</v>
      </c>
      <c r="C996" s="28" t="s">
        <v>104</v>
      </c>
      <c r="D996" s="29">
        <v>810198000</v>
      </c>
      <c r="E996" s="29">
        <f>B996-F996</f>
        <v>15802000</v>
      </c>
      <c r="F996" s="29">
        <v>810198000</v>
      </c>
      <c r="G996" s="30">
        <v>100</v>
      </c>
      <c r="H996" s="22"/>
      <c r="I996" s="16"/>
    </row>
    <row r="997" spans="1:9" ht="36" x14ac:dyDescent="0.25">
      <c r="A997" s="28" t="s">
        <v>944</v>
      </c>
      <c r="B997" s="29">
        <f>1800000000</f>
        <v>1800000000</v>
      </c>
      <c r="C997" s="28" t="s">
        <v>104</v>
      </c>
      <c r="D997" s="29">
        <v>1715016000</v>
      </c>
      <c r="E997" s="29">
        <f>B997-F997</f>
        <v>84984000</v>
      </c>
      <c r="F997" s="29">
        <v>1715016000</v>
      </c>
      <c r="G997" s="30">
        <v>100</v>
      </c>
      <c r="H997" s="22"/>
      <c r="I997" s="16"/>
    </row>
    <row r="998" spans="1:9" ht="36" x14ac:dyDescent="0.25">
      <c r="A998" s="28" t="s">
        <v>945</v>
      </c>
      <c r="B998" s="29">
        <v>450000000</v>
      </c>
      <c r="C998" s="28" t="s">
        <v>104</v>
      </c>
      <c r="D998" s="29">
        <v>441057000</v>
      </c>
      <c r="E998" s="29">
        <f>B998-F998</f>
        <v>8943000</v>
      </c>
      <c r="F998" s="29">
        <v>441057000</v>
      </c>
      <c r="G998" s="30">
        <v>100</v>
      </c>
      <c r="H998" s="22"/>
      <c r="I998" s="16"/>
    </row>
    <row r="999" spans="1:9" ht="36" x14ac:dyDescent="0.25">
      <c r="A999" s="28" t="s">
        <v>946</v>
      </c>
      <c r="B999" s="29">
        <v>286000000</v>
      </c>
      <c r="C999" s="28" t="s">
        <v>104</v>
      </c>
      <c r="D999" s="29">
        <v>280000000</v>
      </c>
      <c r="E999" s="29">
        <f>B999-F999</f>
        <v>6000000</v>
      </c>
      <c r="F999" s="29">
        <v>280000000</v>
      </c>
      <c r="G999" s="30">
        <v>100</v>
      </c>
      <c r="H999" s="22"/>
      <c r="I999" s="16"/>
    </row>
    <row r="1000" spans="1:9" ht="24" x14ac:dyDescent="0.25">
      <c r="A1000" s="28" t="s">
        <v>947</v>
      </c>
      <c r="B1000" s="29">
        <v>40000000</v>
      </c>
      <c r="C1000" s="28" t="s">
        <v>111</v>
      </c>
      <c r="D1000" s="29">
        <v>39094200</v>
      </c>
      <c r="E1000" s="29">
        <f>B1000-F1000</f>
        <v>905800</v>
      </c>
      <c r="F1000" s="29">
        <v>39094200</v>
      </c>
      <c r="G1000" s="30">
        <v>100</v>
      </c>
      <c r="H1000" s="22"/>
      <c r="I1000" s="16"/>
    </row>
    <row r="1001" spans="1:9" ht="24" x14ac:dyDescent="0.25">
      <c r="A1001" s="28" t="s">
        <v>948</v>
      </c>
      <c r="B1001" s="29">
        <v>50000000</v>
      </c>
      <c r="C1001" s="28" t="s">
        <v>111</v>
      </c>
      <c r="D1001" s="29">
        <v>48751200</v>
      </c>
      <c r="E1001" s="29">
        <f>B1001-F1001</f>
        <v>1248800</v>
      </c>
      <c r="F1001" s="29">
        <v>48751200</v>
      </c>
      <c r="G1001" s="30">
        <v>100</v>
      </c>
      <c r="H1001" s="22"/>
      <c r="I1001" s="16"/>
    </row>
    <row r="1002" spans="1:9" ht="36" x14ac:dyDescent="0.25">
      <c r="A1002" s="28" t="s">
        <v>949</v>
      </c>
      <c r="B1002" s="29">
        <v>40000000</v>
      </c>
      <c r="C1002" s="28" t="s">
        <v>111</v>
      </c>
      <c r="D1002" s="29">
        <v>39875000</v>
      </c>
      <c r="E1002" s="29">
        <f>B1002-F1002</f>
        <v>125000</v>
      </c>
      <c r="F1002" s="29">
        <v>39875000</v>
      </c>
      <c r="G1002" s="30">
        <v>100</v>
      </c>
      <c r="H1002" s="22"/>
      <c r="I1002" s="16"/>
    </row>
    <row r="1003" spans="1:9" x14ac:dyDescent="0.25">
      <c r="A1003" s="23" t="s">
        <v>950</v>
      </c>
      <c r="B1003" s="24">
        <f>SUM(B1004:B1117)</f>
        <v>22709686000</v>
      </c>
      <c r="C1003" s="25"/>
      <c r="D1003" s="26"/>
      <c r="E1003" s="24">
        <f>SUM(E1004:E1117)</f>
        <v>211467158</v>
      </c>
      <c r="F1003" s="24">
        <f>SUM(F1004:F1117)</f>
        <v>22498218842</v>
      </c>
      <c r="G1003" s="27">
        <f>AVERAGE(G1004:G1075,G1077:G1117)</f>
        <v>100</v>
      </c>
      <c r="H1003" s="16"/>
      <c r="I1003" s="16"/>
    </row>
    <row r="1004" spans="1:9" ht="24" x14ac:dyDescent="0.25">
      <c r="A1004" s="28" t="s">
        <v>951</v>
      </c>
      <c r="B1004" s="29">
        <v>80000000</v>
      </c>
      <c r="C1004" s="28" t="s">
        <v>104</v>
      </c>
      <c r="D1004" s="29">
        <v>78982000</v>
      </c>
      <c r="E1004" s="29">
        <f>B1004-F1004</f>
        <v>1018000</v>
      </c>
      <c r="F1004" s="29">
        <v>78982000</v>
      </c>
      <c r="G1004" s="30">
        <v>100</v>
      </c>
      <c r="H1004" s="22"/>
      <c r="I1004" s="16"/>
    </row>
    <row r="1005" spans="1:9" ht="24" x14ac:dyDescent="0.25">
      <c r="A1005" s="28" t="s">
        <v>952</v>
      </c>
      <c r="B1005" s="29">
        <f>120000000-40000000</f>
        <v>80000000</v>
      </c>
      <c r="C1005" s="28" t="s">
        <v>104</v>
      </c>
      <c r="D1005" s="29">
        <v>78825000</v>
      </c>
      <c r="E1005" s="29">
        <f>B1005-F1005</f>
        <v>1175000</v>
      </c>
      <c r="F1005" s="29">
        <v>78825000</v>
      </c>
      <c r="G1005" s="30">
        <v>100</v>
      </c>
      <c r="H1005" s="22"/>
      <c r="I1005" s="16"/>
    </row>
    <row r="1006" spans="1:9" ht="24" x14ac:dyDescent="0.25">
      <c r="A1006" s="28" t="s">
        <v>953</v>
      </c>
      <c r="B1006" s="29">
        <v>80000000</v>
      </c>
      <c r="C1006" s="28" t="s">
        <v>104</v>
      </c>
      <c r="D1006" s="29">
        <v>78676000</v>
      </c>
      <c r="E1006" s="29">
        <f>B1006-F1006</f>
        <v>1324000</v>
      </c>
      <c r="F1006" s="29">
        <v>78676000</v>
      </c>
      <c r="G1006" s="30">
        <v>100</v>
      </c>
      <c r="H1006" s="22"/>
      <c r="I1006" s="16"/>
    </row>
    <row r="1007" spans="1:9" ht="24" x14ac:dyDescent="0.25">
      <c r="A1007" s="28" t="s">
        <v>954</v>
      </c>
      <c r="B1007" s="29">
        <v>80000000</v>
      </c>
      <c r="C1007" s="28" t="s">
        <v>104</v>
      </c>
      <c r="D1007" s="29">
        <v>78737000</v>
      </c>
      <c r="E1007" s="29">
        <f>B1007-F1007</f>
        <v>1263000</v>
      </c>
      <c r="F1007" s="29">
        <v>78737000</v>
      </c>
      <c r="G1007" s="30">
        <v>100</v>
      </c>
      <c r="H1007" s="22"/>
      <c r="I1007" s="16"/>
    </row>
    <row r="1008" spans="1:9" ht="24" x14ac:dyDescent="0.25">
      <c r="A1008" s="28" t="s">
        <v>955</v>
      </c>
      <c r="B1008" s="29">
        <v>80000000</v>
      </c>
      <c r="C1008" s="28" t="s">
        <v>104</v>
      </c>
      <c r="D1008" s="29">
        <v>79004000</v>
      </c>
      <c r="E1008" s="29">
        <f>B1008-F1008</f>
        <v>996000</v>
      </c>
      <c r="F1008" s="29">
        <v>79004000</v>
      </c>
      <c r="G1008" s="30">
        <v>100</v>
      </c>
      <c r="H1008" s="22"/>
      <c r="I1008" s="16"/>
    </row>
    <row r="1009" spans="1:14" ht="24" x14ac:dyDescent="0.25">
      <c r="A1009" s="28" t="s">
        <v>956</v>
      </c>
      <c r="B1009" s="29">
        <v>80000000</v>
      </c>
      <c r="C1009" s="28" t="s">
        <v>104</v>
      </c>
      <c r="D1009" s="29">
        <v>78805000</v>
      </c>
      <c r="E1009" s="29">
        <f>B1009-F1009</f>
        <v>1195000</v>
      </c>
      <c r="F1009" s="29">
        <v>78805000</v>
      </c>
      <c r="G1009" s="30">
        <v>100</v>
      </c>
      <c r="H1009" s="22"/>
      <c r="I1009" s="16"/>
    </row>
    <row r="1010" spans="1:14" ht="24" x14ac:dyDescent="0.25">
      <c r="A1010" s="28" t="s">
        <v>957</v>
      </c>
      <c r="B1010" s="29">
        <v>40000000</v>
      </c>
      <c r="C1010" s="28" t="s">
        <v>104</v>
      </c>
      <c r="D1010" s="29">
        <v>37740000</v>
      </c>
      <c r="E1010" s="29">
        <f>B1010-F1010</f>
        <v>2260000</v>
      </c>
      <c r="F1010" s="29">
        <v>37740000</v>
      </c>
      <c r="G1010" s="30">
        <v>100</v>
      </c>
      <c r="H1010" s="22"/>
      <c r="I1010" s="16"/>
    </row>
    <row r="1011" spans="1:14" s="39" customFormat="1" ht="24" x14ac:dyDescent="0.25">
      <c r="A1011" s="28" t="s">
        <v>958</v>
      </c>
      <c r="B1011" s="29">
        <v>40000000</v>
      </c>
      <c r="C1011" s="28" t="s">
        <v>104</v>
      </c>
      <c r="D1011" s="29">
        <v>39014000</v>
      </c>
      <c r="E1011" s="29">
        <f>B1011-F1011</f>
        <v>986000</v>
      </c>
      <c r="F1011" s="29">
        <v>39014000</v>
      </c>
      <c r="G1011" s="30">
        <v>100</v>
      </c>
      <c r="H1011" s="22"/>
      <c r="I1011" s="16"/>
      <c r="J1011" s="4"/>
      <c r="K1011" s="4"/>
      <c r="L1011" s="4"/>
      <c r="M1011" s="4"/>
      <c r="N1011" s="4"/>
    </row>
    <row r="1012" spans="1:14" ht="24" x14ac:dyDescent="0.25">
      <c r="A1012" s="28" t="s">
        <v>959</v>
      </c>
      <c r="B1012" s="29">
        <v>40000000</v>
      </c>
      <c r="C1012" s="28" t="s">
        <v>104</v>
      </c>
      <c r="D1012" s="29">
        <v>39012000</v>
      </c>
      <c r="E1012" s="29">
        <f>B1012-F1012</f>
        <v>988000</v>
      </c>
      <c r="F1012" s="29">
        <v>39012000</v>
      </c>
      <c r="G1012" s="30">
        <v>100</v>
      </c>
      <c r="H1012" s="22"/>
      <c r="I1012" s="16"/>
    </row>
    <row r="1013" spans="1:14" ht="24" x14ac:dyDescent="0.25">
      <c r="A1013" s="28" t="s">
        <v>960</v>
      </c>
      <c r="B1013" s="29">
        <v>40000000</v>
      </c>
      <c r="C1013" s="28" t="s">
        <v>104</v>
      </c>
      <c r="D1013" s="29">
        <v>38899000</v>
      </c>
      <c r="E1013" s="29">
        <f>B1013-F1013</f>
        <v>1101000</v>
      </c>
      <c r="F1013" s="29">
        <v>38899000</v>
      </c>
      <c r="G1013" s="30">
        <v>100</v>
      </c>
      <c r="H1013" s="22"/>
      <c r="I1013" s="16"/>
    </row>
    <row r="1014" spans="1:14" ht="24" x14ac:dyDescent="0.25">
      <c r="A1014" s="28" t="s">
        <v>961</v>
      </c>
      <c r="B1014" s="29">
        <v>40000000</v>
      </c>
      <c r="C1014" s="28" t="s">
        <v>104</v>
      </c>
      <c r="D1014" s="29">
        <v>38911000</v>
      </c>
      <c r="E1014" s="29">
        <f>B1014-F1014</f>
        <v>1089000</v>
      </c>
      <c r="F1014" s="29">
        <v>38911000</v>
      </c>
      <c r="G1014" s="30">
        <v>100</v>
      </c>
      <c r="H1014" s="22"/>
      <c r="I1014" s="16"/>
      <c r="J1014" s="39"/>
      <c r="K1014" s="39"/>
      <c r="L1014" s="39"/>
      <c r="M1014" s="39"/>
      <c r="N1014" s="39"/>
    </row>
    <row r="1015" spans="1:14" ht="24" x14ac:dyDescent="0.25">
      <c r="A1015" s="28" t="s">
        <v>962</v>
      </c>
      <c r="B1015" s="29">
        <v>40000000</v>
      </c>
      <c r="C1015" s="28" t="s">
        <v>104</v>
      </c>
      <c r="D1015" s="29">
        <v>39028000</v>
      </c>
      <c r="E1015" s="29">
        <f>B1015-F1015</f>
        <v>972000</v>
      </c>
      <c r="F1015" s="29">
        <v>39028000</v>
      </c>
      <c r="G1015" s="30">
        <v>100</v>
      </c>
      <c r="H1015" s="22"/>
      <c r="I1015" s="16"/>
    </row>
    <row r="1016" spans="1:14" x14ac:dyDescent="0.25">
      <c r="A1016" s="28" t="s">
        <v>963</v>
      </c>
      <c r="B1016" s="29">
        <f>4004000000-121000000</f>
        <v>3883000000</v>
      </c>
      <c r="C1016" s="28" t="s">
        <v>93</v>
      </c>
      <c r="D1016" s="29">
        <f>B1016</f>
        <v>3883000000</v>
      </c>
      <c r="E1016" s="29">
        <f>B1016-F1016</f>
        <v>0</v>
      </c>
      <c r="F1016" s="29">
        <v>3883000000</v>
      </c>
      <c r="G1016" s="30">
        <v>100</v>
      </c>
      <c r="H1016" s="16"/>
      <c r="I1016" s="16"/>
    </row>
    <row r="1017" spans="1:14" x14ac:dyDescent="0.25">
      <c r="A1017" s="28" t="s">
        <v>964</v>
      </c>
      <c r="B1017" s="29">
        <v>36000000</v>
      </c>
      <c r="C1017" s="28" t="s">
        <v>93</v>
      </c>
      <c r="D1017" s="29">
        <f>F1017</f>
        <v>35657000</v>
      </c>
      <c r="E1017" s="29">
        <f>B1017-F1017</f>
        <v>343000</v>
      </c>
      <c r="F1017" s="29">
        <v>35657000</v>
      </c>
      <c r="G1017" s="30">
        <v>100</v>
      </c>
      <c r="H1017" s="22"/>
      <c r="I1017" s="16"/>
    </row>
    <row r="1018" spans="1:14" ht="24" x14ac:dyDescent="0.25">
      <c r="A1018" s="28" t="s">
        <v>965</v>
      </c>
      <c r="B1018" s="29">
        <v>18250000</v>
      </c>
      <c r="C1018" s="28" t="s">
        <v>93</v>
      </c>
      <c r="D1018" s="29">
        <f>F1018</f>
        <v>18200000</v>
      </c>
      <c r="E1018" s="29">
        <f>B1018-F1018</f>
        <v>50000</v>
      </c>
      <c r="F1018" s="29">
        <v>18200000</v>
      </c>
      <c r="G1018" s="30">
        <v>100</v>
      </c>
      <c r="H1018" s="22"/>
      <c r="I1018" s="16"/>
    </row>
    <row r="1019" spans="1:14" x14ac:dyDescent="0.25">
      <c r="A1019" s="28" t="s">
        <v>966</v>
      </c>
      <c r="B1019" s="29">
        <v>200000000</v>
      </c>
      <c r="C1019" s="28" t="s">
        <v>56</v>
      </c>
      <c r="D1019" s="29">
        <v>198468000</v>
      </c>
      <c r="E1019" s="29">
        <f>B1019-F1019</f>
        <v>1532000</v>
      </c>
      <c r="F1019" s="29">
        <v>198468000</v>
      </c>
      <c r="G1019" s="30">
        <v>100</v>
      </c>
      <c r="H1019" s="40"/>
      <c r="I1019" s="16"/>
    </row>
    <row r="1020" spans="1:14" x14ac:dyDescent="0.25">
      <c r="A1020" s="28" t="s">
        <v>967</v>
      </c>
      <c r="B1020" s="29">
        <v>150000000</v>
      </c>
      <c r="C1020" s="28" t="s">
        <v>56</v>
      </c>
      <c r="D1020" s="29">
        <v>148717800</v>
      </c>
      <c r="E1020" s="29">
        <f>B1020-F1020</f>
        <v>1282200</v>
      </c>
      <c r="F1020" s="29">
        <v>148717800</v>
      </c>
      <c r="G1020" s="30">
        <v>100</v>
      </c>
      <c r="H1020" s="40"/>
      <c r="I1020" s="16"/>
    </row>
    <row r="1021" spans="1:14" x14ac:dyDescent="0.25">
      <c r="A1021" s="28" t="s">
        <v>968</v>
      </c>
      <c r="B1021" s="29">
        <v>200000000</v>
      </c>
      <c r="C1021" s="28" t="s">
        <v>56</v>
      </c>
      <c r="D1021" s="29">
        <v>198080000</v>
      </c>
      <c r="E1021" s="29">
        <f>B1021-F1021</f>
        <v>1920000</v>
      </c>
      <c r="F1021" s="29">
        <v>198080000</v>
      </c>
      <c r="G1021" s="30">
        <v>100</v>
      </c>
      <c r="H1021" s="41"/>
      <c r="I1021" s="16"/>
    </row>
    <row r="1022" spans="1:14" x14ac:dyDescent="0.25">
      <c r="A1022" s="28" t="s">
        <v>969</v>
      </c>
      <c r="B1022" s="29">
        <v>200000000</v>
      </c>
      <c r="C1022" s="28" t="s">
        <v>56</v>
      </c>
      <c r="D1022" s="29">
        <v>198080000</v>
      </c>
      <c r="E1022" s="29">
        <f>B1022-F1022</f>
        <v>1920000</v>
      </c>
      <c r="F1022" s="29">
        <v>198080000</v>
      </c>
      <c r="G1022" s="30">
        <v>100</v>
      </c>
      <c r="H1022" s="40"/>
      <c r="I1022" s="16"/>
    </row>
    <row r="1023" spans="1:14" x14ac:dyDescent="0.25">
      <c r="A1023" s="28" t="s">
        <v>970</v>
      </c>
      <c r="B1023" s="29">
        <v>200000000</v>
      </c>
      <c r="C1023" s="28" t="s">
        <v>56</v>
      </c>
      <c r="D1023" s="29">
        <v>198470000</v>
      </c>
      <c r="E1023" s="29">
        <f>B1023-F1023</f>
        <v>1530000</v>
      </c>
      <c r="F1023" s="29">
        <v>198470000</v>
      </c>
      <c r="G1023" s="30">
        <v>100</v>
      </c>
      <c r="H1023" s="16"/>
      <c r="I1023" s="16"/>
    </row>
    <row r="1024" spans="1:14" x14ac:dyDescent="0.25">
      <c r="A1024" s="28" t="s">
        <v>971</v>
      </c>
      <c r="B1024" s="29">
        <v>200000000</v>
      </c>
      <c r="C1024" s="28" t="s">
        <v>56</v>
      </c>
      <c r="D1024" s="29">
        <v>196902900</v>
      </c>
      <c r="E1024" s="29">
        <f>B1024-F1024</f>
        <v>3097100</v>
      </c>
      <c r="F1024" s="29">
        <v>196902900</v>
      </c>
      <c r="G1024" s="30">
        <v>100</v>
      </c>
      <c r="H1024" s="41"/>
      <c r="I1024" s="16"/>
    </row>
    <row r="1025" spans="1:9" x14ac:dyDescent="0.25">
      <c r="A1025" s="28" t="s">
        <v>972</v>
      </c>
      <c r="B1025" s="29">
        <v>150000000</v>
      </c>
      <c r="C1025" s="28" t="s">
        <v>56</v>
      </c>
      <c r="D1025" s="29">
        <v>147607800</v>
      </c>
      <c r="E1025" s="29">
        <f>B1025-F1025</f>
        <v>2392200</v>
      </c>
      <c r="F1025" s="29">
        <v>147607800</v>
      </c>
      <c r="G1025" s="30">
        <v>100</v>
      </c>
      <c r="H1025" s="41"/>
      <c r="I1025" s="16"/>
    </row>
    <row r="1026" spans="1:9" x14ac:dyDescent="0.25">
      <c r="A1026" s="28" t="s">
        <v>973</v>
      </c>
      <c r="B1026" s="29">
        <v>150000000</v>
      </c>
      <c r="C1026" s="28" t="s">
        <v>56</v>
      </c>
      <c r="D1026" s="29">
        <v>147075000</v>
      </c>
      <c r="E1026" s="29">
        <f>B1026-F1026</f>
        <v>2925000</v>
      </c>
      <c r="F1026" s="29">
        <v>147075000</v>
      </c>
      <c r="G1026" s="30">
        <v>100</v>
      </c>
      <c r="H1026" s="22"/>
      <c r="I1026" s="16"/>
    </row>
    <row r="1027" spans="1:9" ht="24" x14ac:dyDescent="0.25">
      <c r="A1027" s="28" t="s">
        <v>974</v>
      </c>
      <c r="B1027" s="29">
        <f t="shared" ref="B1027:B1031" si="2">200000000-3000000</f>
        <v>197000000</v>
      </c>
      <c r="C1027" s="28" t="s">
        <v>104</v>
      </c>
      <c r="D1027" s="29">
        <v>196047000</v>
      </c>
      <c r="E1027" s="29">
        <f>B1027-F1027</f>
        <v>953000</v>
      </c>
      <c r="F1027" s="29">
        <v>196047000</v>
      </c>
      <c r="G1027" s="30">
        <v>100</v>
      </c>
      <c r="H1027" s="22"/>
      <c r="I1027" s="16"/>
    </row>
    <row r="1028" spans="1:9" ht="24" x14ac:dyDescent="0.25">
      <c r="A1028" s="28" t="s">
        <v>975</v>
      </c>
      <c r="B1028" s="29">
        <f t="shared" si="2"/>
        <v>197000000</v>
      </c>
      <c r="C1028" s="28" t="s">
        <v>104</v>
      </c>
      <c r="D1028" s="29">
        <v>197728000</v>
      </c>
      <c r="E1028" s="29">
        <f>B1028-F1028</f>
        <v>-728000</v>
      </c>
      <c r="F1028" s="29">
        <v>197728000</v>
      </c>
      <c r="G1028" s="30">
        <v>100</v>
      </c>
      <c r="H1028" s="22"/>
      <c r="I1028" s="16"/>
    </row>
    <row r="1029" spans="1:9" ht="24" x14ac:dyDescent="0.25">
      <c r="A1029" s="28" t="s">
        <v>976</v>
      </c>
      <c r="B1029" s="29">
        <f t="shared" si="2"/>
        <v>197000000</v>
      </c>
      <c r="C1029" s="28" t="s">
        <v>104</v>
      </c>
      <c r="D1029" s="29">
        <v>196500000</v>
      </c>
      <c r="E1029" s="29">
        <f>B1029-F1029</f>
        <v>500000</v>
      </c>
      <c r="F1029" s="29">
        <v>196500000</v>
      </c>
      <c r="G1029" s="30">
        <v>100</v>
      </c>
      <c r="H1029" s="22"/>
      <c r="I1029" s="16"/>
    </row>
    <row r="1030" spans="1:9" ht="24" x14ac:dyDescent="0.25">
      <c r="A1030" s="28" t="s">
        <v>977</v>
      </c>
      <c r="B1030" s="29">
        <f t="shared" si="2"/>
        <v>197000000</v>
      </c>
      <c r="C1030" s="28" t="s">
        <v>104</v>
      </c>
      <c r="D1030" s="29">
        <v>196400000</v>
      </c>
      <c r="E1030" s="29">
        <f>B1030-F1030</f>
        <v>600000</v>
      </c>
      <c r="F1030" s="29">
        <v>196400000</v>
      </c>
      <c r="G1030" s="30">
        <v>100</v>
      </c>
      <c r="H1030" s="22"/>
      <c r="I1030" s="16"/>
    </row>
    <row r="1031" spans="1:9" ht="24" x14ac:dyDescent="0.25">
      <c r="A1031" s="28" t="s">
        <v>978</v>
      </c>
      <c r="B1031" s="29">
        <f t="shared" si="2"/>
        <v>197000000</v>
      </c>
      <c r="C1031" s="28" t="s">
        <v>104</v>
      </c>
      <c r="D1031" s="29">
        <v>196070000</v>
      </c>
      <c r="E1031" s="29">
        <f>B1031-F1031</f>
        <v>930000</v>
      </c>
      <c r="F1031" s="29">
        <v>196070000</v>
      </c>
      <c r="G1031" s="30">
        <v>100</v>
      </c>
      <c r="H1031" s="22"/>
      <c r="I1031" s="16"/>
    </row>
    <row r="1032" spans="1:9" ht="24" x14ac:dyDescent="0.25">
      <c r="A1032" s="28" t="s">
        <v>979</v>
      </c>
      <c r="B1032" s="29">
        <v>100000000</v>
      </c>
      <c r="C1032" s="28" t="s">
        <v>104</v>
      </c>
      <c r="D1032" s="29">
        <v>98342000</v>
      </c>
      <c r="E1032" s="29">
        <f>B1032-F1032</f>
        <v>1658000</v>
      </c>
      <c r="F1032" s="29">
        <v>98342000</v>
      </c>
      <c r="G1032" s="30">
        <v>100</v>
      </c>
      <c r="H1032" s="22"/>
      <c r="I1032" s="16"/>
    </row>
    <row r="1033" spans="1:9" ht="24" x14ac:dyDescent="0.25">
      <c r="A1033" s="28" t="s">
        <v>980</v>
      </c>
      <c r="B1033" s="29">
        <v>150000000</v>
      </c>
      <c r="C1033" s="28" t="s">
        <v>104</v>
      </c>
      <c r="D1033" s="29">
        <v>148294000</v>
      </c>
      <c r="E1033" s="29">
        <f>B1033-F1033</f>
        <v>1706000</v>
      </c>
      <c r="F1033" s="29">
        <v>148294000</v>
      </c>
      <c r="G1033" s="30">
        <v>100</v>
      </c>
      <c r="H1033" s="22"/>
      <c r="I1033" s="16"/>
    </row>
    <row r="1034" spans="1:9" ht="24" x14ac:dyDescent="0.25">
      <c r="A1034" s="28" t="s">
        <v>981</v>
      </c>
      <c r="B1034" s="29">
        <v>150000000</v>
      </c>
      <c r="C1034" s="28" t="s">
        <v>104</v>
      </c>
      <c r="D1034" s="29">
        <v>147843000</v>
      </c>
      <c r="E1034" s="29">
        <f>B1034-F1034</f>
        <v>2157000</v>
      </c>
      <c r="F1034" s="29">
        <v>147843000</v>
      </c>
      <c r="G1034" s="30">
        <v>100</v>
      </c>
      <c r="H1034" s="22"/>
      <c r="I1034" s="16"/>
    </row>
    <row r="1035" spans="1:9" ht="24" x14ac:dyDescent="0.25">
      <c r="A1035" s="28" t="s">
        <v>982</v>
      </c>
      <c r="B1035" s="29">
        <f t="shared" ref="B1035:B1037" si="3">200000000-3000000</f>
        <v>197000000</v>
      </c>
      <c r="C1035" s="28" t="s">
        <v>104</v>
      </c>
      <c r="D1035" s="29">
        <v>196487000</v>
      </c>
      <c r="E1035" s="29">
        <f>B1035-F1035</f>
        <v>513000</v>
      </c>
      <c r="F1035" s="29">
        <v>196487000</v>
      </c>
      <c r="G1035" s="30">
        <v>100</v>
      </c>
      <c r="H1035" s="22"/>
      <c r="I1035" s="16"/>
    </row>
    <row r="1036" spans="1:9" ht="24" x14ac:dyDescent="0.25">
      <c r="A1036" s="28" t="s">
        <v>983</v>
      </c>
      <c r="B1036" s="29">
        <f t="shared" si="3"/>
        <v>197000000</v>
      </c>
      <c r="C1036" s="28" t="s">
        <v>104</v>
      </c>
      <c r="D1036" s="29">
        <v>195880000</v>
      </c>
      <c r="E1036" s="29">
        <f>B1036-F1036</f>
        <v>1120000</v>
      </c>
      <c r="F1036" s="29">
        <v>195880000</v>
      </c>
      <c r="G1036" s="30">
        <v>100</v>
      </c>
      <c r="H1036" s="22"/>
      <c r="I1036" s="16"/>
    </row>
    <row r="1037" spans="1:9" ht="24" x14ac:dyDescent="0.25">
      <c r="A1037" s="28" t="s">
        <v>984</v>
      </c>
      <c r="B1037" s="29">
        <f t="shared" si="3"/>
        <v>197000000</v>
      </c>
      <c r="C1037" s="28" t="s">
        <v>104</v>
      </c>
      <c r="D1037" s="29">
        <v>196725000</v>
      </c>
      <c r="E1037" s="29">
        <f>B1037-F1037</f>
        <v>275000</v>
      </c>
      <c r="F1037" s="29">
        <v>196725000</v>
      </c>
      <c r="G1037" s="30">
        <v>100</v>
      </c>
      <c r="H1037" s="22"/>
      <c r="I1037" s="16"/>
    </row>
    <row r="1038" spans="1:9" ht="24" x14ac:dyDescent="0.25">
      <c r="A1038" s="28" t="s">
        <v>985</v>
      </c>
      <c r="B1038" s="29">
        <v>150000000</v>
      </c>
      <c r="C1038" s="28" t="s">
        <v>104</v>
      </c>
      <c r="D1038" s="29">
        <v>148000000</v>
      </c>
      <c r="E1038" s="29">
        <f>B1038-F1038</f>
        <v>2000000</v>
      </c>
      <c r="F1038" s="29">
        <v>148000000</v>
      </c>
      <c r="G1038" s="30">
        <v>100</v>
      </c>
      <c r="H1038" s="22"/>
      <c r="I1038" s="16"/>
    </row>
    <row r="1039" spans="1:9" ht="24" x14ac:dyDescent="0.25">
      <c r="A1039" s="28" t="s">
        <v>986</v>
      </c>
      <c r="B1039" s="29">
        <f>200000000-3000000</f>
        <v>197000000</v>
      </c>
      <c r="C1039" s="28" t="s">
        <v>104</v>
      </c>
      <c r="D1039" s="29">
        <v>196367000</v>
      </c>
      <c r="E1039" s="29">
        <f>B1039-F1039</f>
        <v>633000</v>
      </c>
      <c r="F1039" s="29">
        <v>196367000</v>
      </c>
      <c r="G1039" s="30">
        <v>100</v>
      </c>
      <c r="H1039" s="22"/>
      <c r="I1039" s="16"/>
    </row>
    <row r="1040" spans="1:9" ht="24" x14ac:dyDescent="0.25">
      <c r="A1040" s="28" t="s">
        <v>987</v>
      </c>
      <c r="B1040" s="29">
        <v>100000000</v>
      </c>
      <c r="C1040" s="28" t="s">
        <v>104</v>
      </c>
      <c r="D1040" s="29">
        <v>98068000</v>
      </c>
      <c r="E1040" s="29">
        <f>B1040-F1040</f>
        <v>1932000</v>
      </c>
      <c r="F1040" s="29">
        <v>98068000</v>
      </c>
      <c r="G1040" s="30">
        <v>100</v>
      </c>
      <c r="H1040" s="22"/>
      <c r="I1040" s="16"/>
    </row>
    <row r="1041" spans="1:9" ht="24" x14ac:dyDescent="0.25">
      <c r="A1041" s="28" t="s">
        <v>988</v>
      </c>
      <c r="B1041" s="29">
        <f t="shared" ref="B1041:B1045" si="4">200000000-3000000</f>
        <v>197000000</v>
      </c>
      <c r="C1041" s="28" t="s">
        <v>104</v>
      </c>
      <c r="D1041" s="29">
        <v>196023000</v>
      </c>
      <c r="E1041" s="29">
        <f>B1041-F1041</f>
        <v>977000</v>
      </c>
      <c r="F1041" s="29">
        <v>196023000</v>
      </c>
      <c r="G1041" s="30">
        <v>100</v>
      </c>
      <c r="H1041" s="22"/>
      <c r="I1041" s="16"/>
    </row>
    <row r="1042" spans="1:9" ht="24" x14ac:dyDescent="0.25">
      <c r="A1042" s="28" t="s">
        <v>989</v>
      </c>
      <c r="B1042" s="29">
        <f t="shared" si="4"/>
        <v>197000000</v>
      </c>
      <c r="C1042" s="28" t="s">
        <v>104</v>
      </c>
      <c r="D1042" s="29">
        <v>195464000</v>
      </c>
      <c r="E1042" s="29">
        <f>B1042-F1042</f>
        <v>1536000</v>
      </c>
      <c r="F1042" s="29">
        <v>195464000</v>
      </c>
      <c r="G1042" s="30">
        <v>100</v>
      </c>
      <c r="H1042" s="22"/>
      <c r="I1042" s="16"/>
    </row>
    <row r="1043" spans="1:9" ht="24" x14ac:dyDescent="0.25">
      <c r="A1043" s="28" t="s">
        <v>990</v>
      </c>
      <c r="B1043" s="29">
        <f t="shared" si="4"/>
        <v>197000000</v>
      </c>
      <c r="C1043" s="28" t="s">
        <v>104</v>
      </c>
      <c r="D1043" s="29">
        <v>196800000</v>
      </c>
      <c r="E1043" s="29">
        <f>B1043-F1043</f>
        <v>200000</v>
      </c>
      <c r="F1043" s="29">
        <v>196800000</v>
      </c>
      <c r="G1043" s="30">
        <v>100</v>
      </c>
      <c r="H1043" s="22"/>
      <c r="I1043" s="16"/>
    </row>
    <row r="1044" spans="1:9" ht="24" x14ac:dyDescent="0.25">
      <c r="A1044" s="28" t="s">
        <v>991</v>
      </c>
      <c r="B1044" s="29">
        <f t="shared" si="4"/>
        <v>197000000</v>
      </c>
      <c r="C1044" s="28" t="s">
        <v>104</v>
      </c>
      <c r="D1044" s="29">
        <v>196800000</v>
      </c>
      <c r="E1044" s="29">
        <f>B1044-F1044</f>
        <v>200000</v>
      </c>
      <c r="F1044" s="29">
        <v>196800000</v>
      </c>
      <c r="G1044" s="30">
        <v>100</v>
      </c>
      <c r="H1044" s="22"/>
      <c r="I1044" s="16"/>
    </row>
    <row r="1045" spans="1:9" ht="24" x14ac:dyDescent="0.25">
      <c r="A1045" s="28" t="s">
        <v>992</v>
      </c>
      <c r="B1045" s="29">
        <f t="shared" si="4"/>
        <v>197000000</v>
      </c>
      <c r="C1045" s="28" t="s">
        <v>104</v>
      </c>
      <c r="D1045" s="29">
        <v>196374000</v>
      </c>
      <c r="E1045" s="29">
        <f>B1045-F1045</f>
        <v>626000</v>
      </c>
      <c r="F1045" s="29">
        <v>196374000</v>
      </c>
      <c r="G1045" s="30">
        <v>100</v>
      </c>
      <c r="H1045" s="22"/>
      <c r="I1045" s="16"/>
    </row>
    <row r="1046" spans="1:9" ht="24" x14ac:dyDescent="0.25">
      <c r="A1046" s="28" t="s">
        <v>993</v>
      </c>
      <c r="B1046" s="29">
        <v>150000000</v>
      </c>
      <c r="C1046" s="28" t="s">
        <v>104</v>
      </c>
      <c r="D1046" s="29">
        <v>147003000</v>
      </c>
      <c r="E1046" s="29">
        <f>B1046-F1046</f>
        <v>2997000</v>
      </c>
      <c r="F1046" s="29">
        <v>147003000</v>
      </c>
      <c r="G1046" s="30">
        <v>100</v>
      </c>
      <c r="H1046" s="22"/>
      <c r="I1046" s="16"/>
    </row>
    <row r="1047" spans="1:9" ht="24" x14ac:dyDescent="0.25">
      <c r="A1047" s="28" t="s">
        <v>994</v>
      </c>
      <c r="B1047" s="29">
        <f>200000000-3000000</f>
        <v>197000000</v>
      </c>
      <c r="C1047" s="28" t="s">
        <v>104</v>
      </c>
      <c r="D1047" s="29">
        <v>196506000</v>
      </c>
      <c r="E1047" s="29">
        <f>B1047-F1047</f>
        <v>494000</v>
      </c>
      <c r="F1047" s="29">
        <v>196506000</v>
      </c>
      <c r="G1047" s="30">
        <v>100</v>
      </c>
      <c r="H1047" s="22"/>
      <c r="I1047" s="16"/>
    </row>
    <row r="1048" spans="1:9" ht="24" x14ac:dyDescent="0.25">
      <c r="A1048" s="28" t="s">
        <v>995</v>
      </c>
      <c r="B1048" s="29">
        <f>200000000-3000000</f>
        <v>197000000</v>
      </c>
      <c r="C1048" s="28" t="s">
        <v>104</v>
      </c>
      <c r="D1048" s="29">
        <v>197000000</v>
      </c>
      <c r="E1048" s="29">
        <f>B1048-F1048</f>
        <v>0</v>
      </c>
      <c r="F1048" s="29">
        <v>197000000</v>
      </c>
      <c r="G1048" s="30">
        <v>100</v>
      </c>
      <c r="H1048" s="22"/>
      <c r="I1048" s="16"/>
    </row>
    <row r="1049" spans="1:9" ht="24" x14ac:dyDescent="0.25">
      <c r="A1049" s="28" t="s">
        <v>996</v>
      </c>
      <c r="B1049" s="29">
        <v>150000000</v>
      </c>
      <c r="C1049" s="28" t="s">
        <v>104</v>
      </c>
      <c r="D1049" s="29">
        <v>148825000</v>
      </c>
      <c r="E1049" s="29">
        <f>B1049-F1049</f>
        <v>1175000</v>
      </c>
      <c r="F1049" s="29">
        <v>148825000</v>
      </c>
      <c r="G1049" s="30">
        <v>100</v>
      </c>
      <c r="H1049" s="22"/>
      <c r="I1049" s="16"/>
    </row>
    <row r="1050" spans="1:9" ht="24" x14ac:dyDescent="0.25">
      <c r="A1050" s="28" t="s">
        <v>997</v>
      </c>
      <c r="B1050" s="29">
        <v>150000000</v>
      </c>
      <c r="C1050" s="28" t="s">
        <v>104</v>
      </c>
      <c r="D1050" s="29">
        <v>147978000</v>
      </c>
      <c r="E1050" s="29">
        <f>B1050-F1050</f>
        <v>2022000</v>
      </c>
      <c r="F1050" s="29">
        <v>147978000</v>
      </c>
      <c r="G1050" s="30">
        <v>100</v>
      </c>
      <c r="H1050" s="22"/>
      <c r="I1050" s="16"/>
    </row>
    <row r="1051" spans="1:9" ht="24" x14ac:dyDescent="0.25">
      <c r="A1051" s="28" t="s">
        <v>998</v>
      </c>
      <c r="B1051" s="29">
        <v>150000000</v>
      </c>
      <c r="C1051" s="28" t="s">
        <v>104</v>
      </c>
      <c r="D1051" s="29">
        <v>148555000</v>
      </c>
      <c r="E1051" s="29">
        <f>B1051-F1051</f>
        <v>1445000</v>
      </c>
      <c r="F1051" s="29">
        <v>148555000</v>
      </c>
      <c r="G1051" s="30">
        <v>100</v>
      </c>
      <c r="H1051" s="22"/>
      <c r="I1051" s="16"/>
    </row>
    <row r="1052" spans="1:9" ht="24" x14ac:dyDescent="0.25">
      <c r="A1052" s="28" t="s">
        <v>999</v>
      </c>
      <c r="B1052" s="29">
        <v>150000000</v>
      </c>
      <c r="C1052" s="28" t="s">
        <v>104</v>
      </c>
      <c r="D1052" s="29">
        <v>148700000</v>
      </c>
      <c r="E1052" s="29">
        <f>B1052-F1052</f>
        <v>1300000</v>
      </c>
      <c r="F1052" s="29">
        <v>148700000</v>
      </c>
      <c r="G1052" s="30">
        <v>100</v>
      </c>
      <c r="H1052" s="22"/>
      <c r="I1052" s="16"/>
    </row>
    <row r="1053" spans="1:9" ht="24" x14ac:dyDescent="0.25">
      <c r="A1053" s="28" t="s">
        <v>1000</v>
      </c>
      <c r="B1053" s="29">
        <v>200000000</v>
      </c>
      <c r="C1053" s="28" t="s">
        <v>104</v>
      </c>
      <c r="D1053" s="29">
        <v>197893000</v>
      </c>
      <c r="E1053" s="29">
        <f>B1053-F1053</f>
        <v>2107000</v>
      </c>
      <c r="F1053" s="29">
        <v>197893000</v>
      </c>
      <c r="G1053" s="30">
        <v>100</v>
      </c>
      <c r="H1053" s="22"/>
      <c r="I1053" s="16"/>
    </row>
    <row r="1054" spans="1:9" ht="24" x14ac:dyDescent="0.25">
      <c r="A1054" s="28" t="s">
        <v>1001</v>
      </c>
      <c r="B1054" s="29">
        <v>150000000</v>
      </c>
      <c r="C1054" s="28" t="s">
        <v>104</v>
      </c>
      <c r="D1054" s="29">
        <v>148182000</v>
      </c>
      <c r="E1054" s="29">
        <f>B1054-F1054</f>
        <v>1818000</v>
      </c>
      <c r="F1054" s="29">
        <v>148182000</v>
      </c>
      <c r="G1054" s="30">
        <v>100</v>
      </c>
      <c r="H1054" s="22"/>
      <c r="I1054" s="16"/>
    </row>
    <row r="1055" spans="1:9" ht="24" x14ac:dyDescent="0.25">
      <c r="A1055" s="28" t="s">
        <v>1002</v>
      </c>
      <c r="B1055" s="29">
        <v>150000000</v>
      </c>
      <c r="C1055" s="28" t="s">
        <v>104</v>
      </c>
      <c r="D1055" s="29">
        <v>148299000</v>
      </c>
      <c r="E1055" s="29">
        <f>B1055-F1055</f>
        <v>1701000</v>
      </c>
      <c r="F1055" s="29">
        <v>148299000</v>
      </c>
      <c r="G1055" s="30">
        <v>100</v>
      </c>
      <c r="H1055" s="22"/>
      <c r="I1055" s="16"/>
    </row>
    <row r="1056" spans="1:9" ht="24" x14ac:dyDescent="0.25">
      <c r="A1056" s="28" t="s">
        <v>1003</v>
      </c>
      <c r="B1056" s="29">
        <v>150000000</v>
      </c>
      <c r="C1056" s="28" t="s">
        <v>104</v>
      </c>
      <c r="D1056" s="29">
        <v>147788000</v>
      </c>
      <c r="E1056" s="29">
        <f>B1056-F1056</f>
        <v>2212000</v>
      </c>
      <c r="F1056" s="29">
        <v>147788000</v>
      </c>
      <c r="G1056" s="30">
        <v>100</v>
      </c>
      <c r="H1056" s="22"/>
      <c r="I1056" s="16"/>
    </row>
    <row r="1057" spans="1:9" ht="24" x14ac:dyDescent="0.25">
      <c r="A1057" s="28" t="s">
        <v>1004</v>
      </c>
      <c r="B1057" s="29">
        <v>150000000</v>
      </c>
      <c r="C1057" s="28" t="s">
        <v>104</v>
      </c>
      <c r="D1057" s="29">
        <v>147698000</v>
      </c>
      <c r="E1057" s="29">
        <f>B1057-F1057</f>
        <v>2302000</v>
      </c>
      <c r="F1057" s="29">
        <v>147698000</v>
      </c>
      <c r="G1057" s="30">
        <v>100</v>
      </c>
      <c r="H1057" s="22"/>
      <c r="I1057" s="16"/>
    </row>
    <row r="1058" spans="1:9" ht="24" x14ac:dyDescent="0.25">
      <c r="A1058" s="28" t="s">
        <v>1005</v>
      </c>
      <c r="B1058" s="29">
        <v>100000000</v>
      </c>
      <c r="C1058" s="28" t="s">
        <v>104</v>
      </c>
      <c r="D1058" s="29">
        <v>98624000</v>
      </c>
      <c r="E1058" s="29">
        <f>B1058-F1058</f>
        <v>1376000</v>
      </c>
      <c r="F1058" s="29">
        <v>98624000</v>
      </c>
      <c r="G1058" s="30">
        <v>100</v>
      </c>
      <c r="H1058" s="22"/>
      <c r="I1058" s="16"/>
    </row>
    <row r="1059" spans="1:9" ht="24" x14ac:dyDescent="0.25">
      <c r="A1059" s="28" t="s">
        <v>1006</v>
      </c>
      <c r="B1059" s="29">
        <v>150000000</v>
      </c>
      <c r="C1059" s="28" t="s">
        <v>104</v>
      </c>
      <c r="D1059" s="29">
        <v>147720000</v>
      </c>
      <c r="E1059" s="29">
        <f>B1059-F1059</f>
        <v>2280000</v>
      </c>
      <c r="F1059" s="29">
        <v>147720000</v>
      </c>
      <c r="G1059" s="30">
        <v>100</v>
      </c>
      <c r="H1059" s="22"/>
      <c r="I1059" s="16"/>
    </row>
    <row r="1060" spans="1:9" ht="24" x14ac:dyDescent="0.25">
      <c r="A1060" s="28" t="s">
        <v>1007</v>
      </c>
      <c r="B1060" s="29">
        <v>100000000</v>
      </c>
      <c r="C1060" s="28" t="s">
        <v>104</v>
      </c>
      <c r="D1060" s="29">
        <v>98510000</v>
      </c>
      <c r="E1060" s="29">
        <f>B1060-F1060</f>
        <v>1490000</v>
      </c>
      <c r="F1060" s="29">
        <v>98510000</v>
      </c>
      <c r="G1060" s="30">
        <v>100</v>
      </c>
      <c r="H1060" s="22"/>
      <c r="I1060" s="16"/>
    </row>
    <row r="1061" spans="1:9" ht="24" x14ac:dyDescent="0.25">
      <c r="A1061" s="28" t="s">
        <v>1008</v>
      </c>
      <c r="B1061" s="29">
        <v>150000000</v>
      </c>
      <c r="C1061" s="28" t="s">
        <v>104</v>
      </c>
      <c r="D1061" s="29">
        <v>147576000</v>
      </c>
      <c r="E1061" s="29">
        <f>B1061-F1061</f>
        <v>2424000</v>
      </c>
      <c r="F1061" s="29">
        <v>147576000</v>
      </c>
      <c r="G1061" s="30">
        <v>100</v>
      </c>
      <c r="H1061" s="22"/>
      <c r="I1061" s="16"/>
    </row>
    <row r="1062" spans="1:9" ht="24" x14ac:dyDescent="0.25">
      <c r="A1062" s="28" t="s">
        <v>1009</v>
      </c>
      <c r="B1062" s="29">
        <v>150000000</v>
      </c>
      <c r="C1062" s="28" t="s">
        <v>104</v>
      </c>
      <c r="D1062" s="29">
        <v>147960000</v>
      </c>
      <c r="E1062" s="29">
        <f>B1062-F1062</f>
        <v>2040000</v>
      </c>
      <c r="F1062" s="29">
        <v>147960000</v>
      </c>
      <c r="G1062" s="30">
        <v>100</v>
      </c>
      <c r="H1062" s="22"/>
      <c r="I1062" s="16"/>
    </row>
    <row r="1063" spans="1:9" ht="24" x14ac:dyDescent="0.25">
      <c r="A1063" s="28" t="s">
        <v>1010</v>
      </c>
      <c r="B1063" s="29">
        <v>100000000</v>
      </c>
      <c r="C1063" s="28" t="s">
        <v>104</v>
      </c>
      <c r="D1063" s="29">
        <v>98314000</v>
      </c>
      <c r="E1063" s="29">
        <f>B1063-F1063</f>
        <v>1686000</v>
      </c>
      <c r="F1063" s="29">
        <v>98314000</v>
      </c>
      <c r="G1063" s="30">
        <v>100</v>
      </c>
      <c r="H1063" s="22"/>
      <c r="I1063" s="16"/>
    </row>
    <row r="1064" spans="1:9" ht="24" x14ac:dyDescent="0.25">
      <c r="A1064" s="28" t="s">
        <v>1011</v>
      </c>
      <c r="B1064" s="29">
        <f t="shared" ref="B1064:B1065" si="5">200000000-3000000</f>
        <v>197000000</v>
      </c>
      <c r="C1064" s="28" t="s">
        <v>104</v>
      </c>
      <c r="D1064" s="29">
        <v>195836000</v>
      </c>
      <c r="E1064" s="29">
        <f>B1064-F1064</f>
        <v>1164000</v>
      </c>
      <c r="F1064" s="29">
        <v>195836000</v>
      </c>
      <c r="G1064" s="30">
        <v>100</v>
      </c>
      <c r="H1064" s="22"/>
      <c r="I1064" s="16"/>
    </row>
    <row r="1065" spans="1:9" ht="24" x14ac:dyDescent="0.25">
      <c r="A1065" s="28" t="s">
        <v>1012</v>
      </c>
      <c r="B1065" s="29">
        <f t="shared" si="5"/>
        <v>197000000</v>
      </c>
      <c r="C1065" s="28" t="s">
        <v>104</v>
      </c>
      <c r="D1065" s="29">
        <v>195496000</v>
      </c>
      <c r="E1065" s="29">
        <f>B1065-F1065</f>
        <v>1504000</v>
      </c>
      <c r="F1065" s="29">
        <v>195496000</v>
      </c>
      <c r="G1065" s="30">
        <v>100</v>
      </c>
      <c r="H1065" s="22"/>
      <c r="I1065" s="16"/>
    </row>
    <row r="1066" spans="1:9" ht="24" x14ac:dyDescent="0.25">
      <c r="A1066" s="28" t="s">
        <v>1013</v>
      </c>
      <c r="B1066" s="29">
        <f>200000000-1286000</f>
        <v>198714000</v>
      </c>
      <c r="C1066" s="28" t="s">
        <v>104</v>
      </c>
      <c r="D1066" s="29">
        <v>196325000</v>
      </c>
      <c r="E1066" s="29">
        <f>B1066-F1066</f>
        <v>2389000</v>
      </c>
      <c r="F1066" s="29">
        <v>196325000</v>
      </c>
      <c r="G1066" s="30">
        <v>100</v>
      </c>
      <c r="H1066" s="22"/>
      <c r="I1066" s="16"/>
    </row>
    <row r="1067" spans="1:9" ht="24" x14ac:dyDescent="0.25">
      <c r="A1067" s="28" t="s">
        <v>1014</v>
      </c>
      <c r="B1067" s="29">
        <v>200000000</v>
      </c>
      <c r="C1067" s="28" t="s">
        <v>104</v>
      </c>
      <c r="D1067" s="29">
        <v>197046000</v>
      </c>
      <c r="E1067" s="29">
        <f>B1067-F1067</f>
        <v>2954000</v>
      </c>
      <c r="F1067" s="29">
        <v>197046000</v>
      </c>
      <c r="G1067" s="30">
        <v>100</v>
      </c>
      <c r="H1067" s="22"/>
      <c r="I1067" s="16"/>
    </row>
    <row r="1068" spans="1:9" ht="24" x14ac:dyDescent="0.25">
      <c r="A1068" s="28" t="s">
        <v>1015</v>
      </c>
      <c r="B1068" s="29">
        <v>200000000</v>
      </c>
      <c r="C1068" s="28" t="s">
        <v>104</v>
      </c>
      <c r="D1068" s="29">
        <v>196013000</v>
      </c>
      <c r="E1068" s="29">
        <f>B1068-F1068</f>
        <v>3987000</v>
      </c>
      <c r="F1068" s="29">
        <v>196013000</v>
      </c>
      <c r="G1068" s="30">
        <v>100</v>
      </c>
      <c r="H1068" s="22"/>
      <c r="I1068" s="16"/>
    </row>
    <row r="1069" spans="1:9" ht="24" x14ac:dyDescent="0.25">
      <c r="A1069" s="28" t="s">
        <v>1016</v>
      </c>
      <c r="B1069" s="29">
        <v>200000000</v>
      </c>
      <c r="C1069" s="28" t="s">
        <v>104</v>
      </c>
      <c r="D1069" s="29">
        <v>196964000</v>
      </c>
      <c r="E1069" s="29">
        <f>B1069-F1069</f>
        <v>3036000</v>
      </c>
      <c r="F1069" s="29">
        <v>196964000</v>
      </c>
      <c r="G1069" s="30">
        <v>100</v>
      </c>
      <c r="H1069" s="22"/>
      <c r="I1069" s="16"/>
    </row>
    <row r="1070" spans="1:9" ht="24" x14ac:dyDescent="0.25">
      <c r="A1070" s="28" t="s">
        <v>1017</v>
      </c>
      <c r="B1070" s="29">
        <v>200000000</v>
      </c>
      <c r="C1070" s="28" t="s">
        <v>104</v>
      </c>
      <c r="D1070" s="29">
        <v>197023000</v>
      </c>
      <c r="E1070" s="29">
        <f>B1070-F1070</f>
        <v>2977000</v>
      </c>
      <c r="F1070" s="29">
        <v>197023000</v>
      </c>
      <c r="G1070" s="30">
        <v>100</v>
      </c>
      <c r="H1070" s="22"/>
      <c r="I1070" s="16"/>
    </row>
    <row r="1071" spans="1:9" ht="24" x14ac:dyDescent="0.25">
      <c r="A1071" s="28" t="s">
        <v>1018</v>
      </c>
      <c r="B1071" s="29">
        <v>150000000</v>
      </c>
      <c r="C1071" s="28" t="s">
        <v>104</v>
      </c>
      <c r="D1071" s="29">
        <v>147698000</v>
      </c>
      <c r="E1071" s="29">
        <f>B1071-F1071</f>
        <v>2302000</v>
      </c>
      <c r="F1071" s="29">
        <v>147698000</v>
      </c>
      <c r="G1071" s="30">
        <v>100</v>
      </c>
      <c r="H1071" s="22"/>
      <c r="I1071" s="16"/>
    </row>
    <row r="1072" spans="1:9" ht="24" x14ac:dyDescent="0.25">
      <c r="A1072" s="28" t="s">
        <v>1019</v>
      </c>
      <c r="B1072" s="29">
        <v>180000000</v>
      </c>
      <c r="C1072" s="28" t="s">
        <v>104</v>
      </c>
      <c r="D1072" s="29">
        <v>177795000</v>
      </c>
      <c r="E1072" s="29">
        <f>B1072-F1072</f>
        <v>2205000</v>
      </c>
      <c r="F1072" s="29">
        <v>177795000</v>
      </c>
      <c r="G1072" s="30">
        <v>100</v>
      </c>
      <c r="H1072" s="22"/>
      <c r="I1072" s="16"/>
    </row>
    <row r="1073" spans="1:9" ht="24" x14ac:dyDescent="0.25">
      <c r="A1073" s="28" t="s">
        <v>1020</v>
      </c>
      <c r="B1073" s="29">
        <v>150000000</v>
      </c>
      <c r="C1073" s="28" t="s">
        <v>104</v>
      </c>
      <c r="D1073" s="29">
        <v>147960000</v>
      </c>
      <c r="E1073" s="29">
        <f>B1073-F1073</f>
        <v>2040000</v>
      </c>
      <c r="F1073" s="29">
        <v>147960000</v>
      </c>
      <c r="G1073" s="30">
        <v>100</v>
      </c>
      <c r="H1073" s="22"/>
      <c r="I1073" s="16"/>
    </row>
    <row r="1074" spans="1:9" ht="24" x14ac:dyDescent="0.25">
      <c r="A1074" s="28" t="s">
        <v>1021</v>
      </c>
      <c r="B1074" s="29">
        <v>150000000</v>
      </c>
      <c r="C1074" s="28" t="s">
        <v>104</v>
      </c>
      <c r="D1074" s="29">
        <v>147128000</v>
      </c>
      <c r="E1074" s="29">
        <f>B1074-F1074</f>
        <v>2872000</v>
      </c>
      <c r="F1074" s="29">
        <v>147128000</v>
      </c>
      <c r="G1074" s="30">
        <v>100</v>
      </c>
      <c r="H1074" s="22"/>
      <c r="I1074" s="16"/>
    </row>
    <row r="1075" spans="1:9" x14ac:dyDescent="0.25">
      <c r="A1075" s="28" t="s">
        <v>1022</v>
      </c>
      <c r="B1075" s="29">
        <v>50000000</v>
      </c>
      <c r="C1075" s="28" t="s">
        <v>56</v>
      </c>
      <c r="D1075" s="29">
        <v>48329000</v>
      </c>
      <c r="E1075" s="29">
        <f>B1075-F1075</f>
        <v>1671000</v>
      </c>
      <c r="F1075" s="29">
        <v>48329000</v>
      </c>
      <c r="G1075" s="30">
        <v>100</v>
      </c>
      <c r="H1075" s="22"/>
      <c r="I1075" s="16"/>
    </row>
    <row r="1076" spans="1:9" x14ac:dyDescent="0.25">
      <c r="A1076" s="28" t="s">
        <v>1023</v>
      </c>
      <c r="B1076" s="29">
        <f>72000000+12584000+3300000+18150000+292422000+52980000+217720500-213722000+3000000-38434500</f>
        <v>420000000</v>
      </c>
      <c r="C1076" s="28" t="s">
        <v>15</v>
      </c>
      <c r="D1076" s="29">
        <f>F1076</f>
        <v>410646842</v>
      </c>
      <c r="E1076" s="29">
        <f>B1076-F1076</f>
        <v>9353158</v>
      </c>
      <c r="F1076" s="29">
        <v>410646842</v>
      </c>
      <c r="G1076" s="30">
        <f>F1076/B1076*100</f>
        <v>97.77305761904762</v>
      </c>
      <c r="H1076" s="22"/>
      <c r="I1076" s="16"/>
    </row>
    <row r="1077" spans="1:9" ht="24" x14ac:dyDescent="0.25">
      <c r="A1077" s="28" t="s">
        <v>1024</v>
      </c>
      <c r="B1077" s="29">
        <v>200000000</v>
      </c>
      <c r="C1077" s="28" t="s">
        <v>104</v>
      </c>
      <c r="D1077" s="29">
        <v>196840000</v>
      </c>
      <c r="E1077" s="29">
        <f>B1077-F1077</f>
        <v>3160000</v>
      </c>
      <c r="F1077" s="29">
        <v>196840000</v>
      </c>
      <c r="G1077" s="30">
        <v>100</v>
      </c>
      <c r="H1077" s="4"/>
      <c r="I1077" s="4"/>
    </row>
    <row r="1078" spans="1:9" ht="24" x14ac:dyDescent="0.25">
      <c r="A1078" s="28" t="s">
        <v>1025</v>
      </c>
      <c r="B1078" s="29">
        <v>200000000</v>
      </c>
      <c r="C1078" s="28" t="s">
        <v>104</v>
      </c>
      <c r="D1078" s="29">
        <v>196666000</v>
      </c>
      <c r="E1078" s="29">
        <f>B1078-F1078</f>
        <v>3334000</v>
      </c>
      <c r="F1078" s="29">
        <v>196666000</v>
      </c>
      <c r="G1078" s="30">
        <v>100</v>
      </c>
      <c r="H1078" s="4"/>
      <c r="I1078" s="4"/>
    </row>
    <row r="1079" spans="1:9" ht="24" x14ac:dyDescent="0.25">
      <c r="A1079" s="28" t="s">
        <v>1026</v>
      </c>
      <c r="B1079" s="29">
        <v>200000000</v>
      </c>
      <c r="C1079" s="28" t="s">
        <v>104</v>
      </c>
      <c r="D1079" s="29">
        <v>196756000</v>
      </c>
      <c r="E1079" s="29">
        <f>B1079-F1079</f>
        <v>3244000</v>
      </c>
      <c r="F1079" s="29">
        <v>196756000</v>
      </c>
      <c r="G1079" s="30">
        <v>100</v>
      </c>
      <c r="H1079" s="4"/>
      <c r="I1079" s="4"/>
    </row>
    <row r="1080" spans="1:9" ht="24" x14ac:dyDescent="0.25">
      <c r="A1080" s="28" t="s">
        <v>1027</v>
      </c>
      <c r="B1080" s="29">
        <v>200000000</v>
      </c>
      <c r="C1080" s="28" t="s">
        <v>104</v>
      </c>
      <c r="D1080" s="29">
        <v>196809000</v>
      </c>
      <c r="E1080" s="29">
        <f>B1080-F1080</f>
        <v>3191000</v>
      </c>
      <c r="F1080" s="29">
        <v>196809000</v>
      </c>
      <c r="G1080" s="30">
        <v>100</v>
      </c>
      <c r="H1080" s="4"/>
      <c r="I1080" s="4"/>
    </row>
    <row r="1081" spans="1:9" ht="24" x14ac:dyDescent="0.25">
      <c r="A1081" s="28" t="s">
        <v>1028</v>
      </c>
      <c r="B1081" s="29">
        <v>350000000</v>
      </c>
      <c r="C1081" s="28" t="s">
        <v>104</v>
      </c>
      <c r="D1081" s="29">
        <v>347383000</v>
      </c>
      <c r="E1081" s="29">
        <f>B1081-F1081</f>
        <v>2617000</v>
      </c>
      <c r="F1081" s="29">
        <v>347383000</v>
      </c>
      <c r="G1081" s="30">
        <v>100</v>
      </c>
      <c r="H1081" s="4"/>
      <c r="I1081" s="4"/>
    </row>
    <row r="1082" spans="1:9" ht="24" x14ac:dyDescent="0.25">
      <c r="A1082" s="28" t="s">
        <v>1029</v>
      </c>
      <c r="B1082" s="29">
        <v>150000000</v>
      </c>
      <c r="C1082" s="28" t="s">
        <v>104</v>
      </c>
      <c r="D1082" s="29">
        <v>147851000</v>
      </c>
      <c r="E1082" s="29">
        <f>B1082-F1082</f>
        <v>2149000</v>
      </c>
      <c r="F1082" s="29">
        <v>147851000</v>
      </c>
      <c r="G1082" s="30">
        <v>100</v>
      </c>
      <c r="H1082" s="4"/>
      <c r="I1082" s="4"/>
    </row>
    <row r="1083" spans="1:9" ht="24" x14ac:dyDescent="0.25">
      <c r="A1083" s="28" t="s">
        <v>1030</v>
      </c>
      <c r="B1083" s="29">
        <v>200000000</v>
      </c>
      <c r="C1083" s="28" t="s">
        <v>104</v>
      </c>
      <c r="D1083" s="29">
        <v>196547000</v>
      </c>
      <c r="E1083" s="29">
        <f>B1083-F1083</f>
        <v>3453000</v>
      </c>
      <c r="F1083" s="29">
        <v>196547000</v>
      </c>
      <c r="G1083" s="30">
        <v>100</v>
      </c>
      <c r="H1083" s="4"/>
      <c r="I1083" s="4"/>
    </row>
    <row r="1084" spans="1:9" ht="24" x14ac:dyDescent="0.25">
      <c r="A1084" s="28" t="s">
        <v>1031</v>
      </c>
      <c r="B1084" s="29">
        <v>200000000</v>
      </c>
      <c r="C1084" s="28" t="s">
        <v>104</v>
      </c>
      <c r="D1084" s="29">
        <v>197330000</v>
      </c>
      <c r="E1084" s="29">
        <f>B1084-F1084</f>
        <v>2670000</v>
      </c>
      <c r="F1084" s="29">
        <v>197330000</v>
      </c>
      <c r="G1084" s="30">
        <v>100</v>
      </c>
      <c r="H1084" s="4"/>
      <c r="I1084" s="4"/>
    </row>
    <row r="1085" spans="1:9" ht="24" x14ac:dyDescent="0.25">
      <c r="A1085" s="28" t="s">
        <v>1032</v>
      </c>
      <c r="B1085" s="29">
        <v>150000000</v>
      </c>
      <c r="C1085" s="28" t="s">
        <v>104</v>
      </c>
      <c r="D1085" s="29">
        <v>147710000</v>
      </c>
      <c r="E1085" s="29">
        <f>B1085-F1085</f>
        <v>2290000</v>
      </c>
      <c r="F1085" s="29">
        <v>147710000</v>
      </c>
      <c r="G1085" s="30">
        <v>100</v>
      </c>
      <c r="H1085" s="4"/>
      <c r="I1085" s="4"/>
    </row>
    <row r="1086" spans="1:9" ht="24" x14ac:dyDescent="0.25">
      <c r="A1086" s="28" t="s">
        <v>1033</v>
      </c>
      <c r="B1086" s="29">
        <f>200000000-3000000</f>
        <v>197000000</v>
      </c>
      <c r="C1086" s="28" t="s">
        <v>104</v>
      </c>
      <c r="D1086" s="29">
        <v>196504000</v>
      </c>
      <c r="E1086" s="29">
        <f>B1086-F1086</f>
        <v>496000</v>
      </c>
      <c r="F1086" s="29">
        <v>196504000</v>
      </c>
      <c r="G1086" s="30">
        <v>100</v>
      </c>
      <c r="H1086" s="4"/>
      <c r="I1086" s="4"/>
    </row>
    <row r="1087" spans="1:9" ht="24" x14ac:dyDescent="0.25">
      <c r="A1087" s="28" t="s">
        <v>1034</v>
      </c>
      <c r="B1087" s="29">
        <v>150000000</v>
      </c>
      <c r="C1087" s="28" t="s">
        <v>104</v>
      </c>
      <c r="D1087" s="29">
        <v>147715000</v>
      </c>
      <c r="E1087" s="29">
        <f>B1087-F1087</f>
        <v>2285000</v>
      </c>
      <c r="F1087" s="29">
        <v>147715000</v>
      </c>
      <c r="G1087" s="30">
        <v>100</v>
      </c>
      <c r="H1087" s="4"/>
      <c r="I1087" s="4"/>
    </row>
    <row r="1088" spans="1:9" ht="24" x14ac:dyDescent="0.25">
      <c r="A1088" s="28" t="s">
        <v>1035</v>
      </c>
      <c r="B1088" s="29">
        <v>150000000</v>
      </c>
      <c r="C1088" s="28" t="s">
        <v>104</v>
      </c>
      <c r="D1088" s="29">
        <v>146904000</v>
      </c>
      <c r="E1088" s="29">
        <f>B1088-F1088</f>
        <v>3096000</v>
      </c>
      <c r="F1088" s="29">
        <v>146904000</v>
      </c>
      <c r="G1088" s="30">
        <v>100</v>
      </c>
      <c r="H1088" s="4"/>
      <c r="I1088" s="4"/>
    </row>
    <row r="1089" spans="1:14" ht="24" x14ac:dyDescent="0.25">
      <c r="A1089" s="28" t="s">
        <v>1036</v>
      </c>
      <c r="B1089" s="29">
        <v>200000000</v>
      </c>
      <c r="C1089" s="28" t="s">
        <v>104</v>
      </c>
      <c r="D1089" s="29">
        <v>196506000</v>
      </c>
      <c r="E1089" s="29">
        <f>B1089-F1089</f>
        <v>3494000</v>
      </c>
      <c r="F1089" s="29">
        <v>196506000</v>
      </c>
      <c r="G1089" s="30">
        <v>100</v>
      </c>
      <c r="H1089" s="4"/>
      <c r="I1089" s="4"/>
    </row>
    <row r="1090" spans="1:14" ht="24" x14ac:dyDescent="0.25">
      <c r="A1090" s="28" t="s">
        <v>1037</v>
      </c>
      <c r="B1090" s="29">
        <v>150000000</v>
      </c>
      <c r="C1090" s="28" t="s">
        <v>104</v>
      </c>
      <c r="D1090" s="29">
        <v>148407000</v>
      </c>
      <c r="E1090" s="29">
        <f>B1090-F1090</f>
        <v>1593000</v>
      </c>
      <c r="F1090" s="29">
        <v>148407000</v>
      </c>
      <c r="G1090" s="30">
        <v>100</v>
      </c>
      <c r="H1090" s="4"/>
      <c r="I1090" s="4"/>
    </row>
    <row r="1091" spans="1:14" ht="24" x14ac:dyDescent="0.25">
      <c r="A1091" s="28" t="s">
        <v>1038</v>
      </c>
      <c r="B1091" s="29">
        <v>150000000</v>
      </c>
      <c r="C1091" s="28" t="s">
        <v>104</v>
      </c>
      <c r="D1091" s="29">
        <v>148185000</v>
      </c>
      <c r="E1091" s="29">
        <f>B1091-F1091</f>
        <v>1815000</v>
      </c>
      <c r="F1091" s="29">
        <v>148185000</v>
      </c>
      <c r="G1091" s="30">
        <v>100</v>
      </c>
      <c r="H1091" s="4"/>
      <c r="I1091" s="4"/>
    </row>
    <row r="1092" spans="1:14" s="32" customFormat="1" ht="24" x14ac:dyDescent="0.25">
      <c r="A1092" s="28" t="s">
        <v>1039</v>
      </c>
      <c r="B1092" s="29">
        <v>347000000</v>
      </c>
      <c r="C1092" s="28" t="s">
        <v>104</v>
      </c>
      <c r="D1092" s="29">
        <f>103789800+242176200</f>
        <v>345966000</v>
      </c>
      <c r="E1092" s="29">
        <f>B1092-F1092</f>
        <v>1034000</v>
      </c>
      <c r="F1092" s="29">
        <f>103789800+242176200</f>
        <v>345966000</v>
      </c>
      <c r="G1092" s="30">
        <v>100</v>
      </c>
      <c r="H1092" s="4"/>
      <c r="I1092" s="4"/>
      <c r="J1092" s="4"/>
      <c r="K1092" s="4"/>
      <c r="L1092" s="4"/>
      <c r="M1092" s="4"/>
      <c r="N1092" s="4"/>
    </row>
    <row r="1093" spans="1:14" s="32" customFormat="1" ht="24" x14ac:dyDescent="0.25">
      <c r="A1093" s="28" t="s">
        <v>1040</v>
      </c>
      <c r="B1093" s="29">
        <v>200000000</v>
      </c>
      <c r="C1093" s="28" t="s">
        <v>104</v>
      </c>
      <c r="D1093" s="29">
        <v>196692000</v>
      </c>
      <c r="E1093" s="29">
        <f>B1093-F1093</f>
        <v>3308000</v>
      </c>
      <c r="F1093" s="29">
        <v>196692000</v>
      </c>
      <c r="G1093" s="30">
        <v>100</v>
      </c>
      <c r="H1093" s="4"/>
      <c r="I1093" s="4"/>
      <c r="J1093" s="4"/>
      <c r="K1093" s="4"/>
      <c r="L1093" s="4"/>
      <c r="M1093" s="4"/>
      <c r="N1093" s="4"/>
    </row>
    <row r="1094" spans="1:14" ht="24" x14ac:dyDescent="0.25">
      <c r="A1094" s="28" t="s">
        <v>1041</v>
      </c>
      <c r="B1094" s="29">
        <v>150000000</v>
      </c>
      <c r="C1094" s="28" t="s">
        <v>104</v>
      </c>
      <c r="D1094" s="29">
        <v>147963000</v>
      </c>
      <c r="E1094" s="29">
        <f>B1094-F1094</f>
        <v>2037000</v>
      </c>
      <c r="F1094" s="29">
        <v>147963000</v>
      </c>
      <c r="G1094" s="30">
        <v>100</v>
      </c>
      <c r="H1094" s="4"/>
      <c r="I1094" s="4"/>
    </row>
    <row r="1095" spans="1:14" ht="24" x14ac:dyDescent="0.25">
      <c r="A1095" s="28" t="s">
        <v>1042</v>
      </c>
      <c r="B1095" s="29">
        <v>150000000</v>
      </c>
      <c r="C1095" s="28" t="s">
        <v>104</v>
      </c>
      <c r="D1095" s="29">
        <v>148296000</v>
      </c>
      <c r="E1095" s="29">
        <f>B1095-F1095</f>
        <v>1704000</v>
      </c>
      <c r="F1095" s="29">
        <v>148296000</v>
      </c>
      <c r="G1095" s="30">
        <v>100</v>
      </c>
      <c r="H1095" s="4"/>
      <c r="I1095" s="4"/>
      <c r="J1095" s="32"/>
      <c r="K1095" s="32"/>
      <c r="L1095" s="32"/>
      <c r="M1095" s="32"/>
      <c r="N1095" s="32"/>
    </row>
    <row r="1096" spans="1:14" ht="24" x14ac:dyDescent="0.25">
      <c r="A1096" s="28" t="s">
        <v>1043</v>
      </c>
      <c r="B1096" s="29">
        <v>150000000</v>
      </c>
      <c r="C1096" s="28" t="s">
        <v>104</v>
      </c>
      <c r="D1096" s="29">
        <v>148296000</v>
      </c>
      <c r="E1096" s="29">
        <f>B1096-F1096</f>
        <v>1704000</v>
      </c>
      <c r="F1096" s="29">
        <v>148296000</v>
      </c>
      <c r="G1096" s="30">
        <v>100</v>
      </c>
      <c r="H1096" s="4"/>
      <c r="I1096" s="4"/>
      <c r="J1096" s="32"/>
      <c r="K1096" s="32"/>
      <c r="L1096" s="32"/>
      <c r="M1096" s="32"/>
      <c r="N1096" s="32"/>
    </row>
    <row r="1097" spans="1:14" ht="24" x14ac:dyDescent="0.25">
      <c r="A1097" s="28" t="s">
        <v>1044</v>
      </c>
      <c r="B1097" s="29">
        <v>200000000</v>
      </c>
      <c r="C1097" s="28" t="s">
        <v>104</v>
      </c>
      <c r="D1097" s="29">
        <v>198250000</v>
      </c>
      <c r="E1097" s="29">
        <f>B1097-F1097</f>
        <v>1750000</v>
      </c>
      <c r="F1097" s="29">
        <v>198250000</v>
      </c>
      <c r="G1097" s="30">
        <v>100</v>
      </c>
      <c r="H1097" s="4"/>
      <c r="I1097" s="4"/>
    </row>
    <row r="1098" spans="1:14" ht="24" x14ac:dyDescent="0.25">
      <c r="A1098" s="28" t="s">
        <v>1045</v>
      </c>
      <c r="B1098" s="29">
        <v>150000000</v>
      </c>
      <c r="C1098" s="28" t="s">
        <v>104</v>
      </c>
      <c r="D1098" s="29">
        <v>148650000</v>
      </c>
      <c r="E1098" s="29">
        <f>B1098-F1098</f>
        <v>1350000</v>
      </c>
      <c r="F1098" s="29">
        <v>148650000</v>
      </c>
      <c r="G1098" s="30">
        <v>100</v>
      </c>
      <c r="H1098" s="4"/>
      <c r="I1098" s="4"/>
    </row>
    <row r="1099" spans="1:14" ht="24" x14ac:dyDescent="0.25">
      <c r="A1099" s="28" t="s">
        <v>1046</v>
      </c>
      <c r="B1099" s="29">
        <v>400000000</v>
      </c>
      <c r="C1099" s="28" t="s">
        <v>104</v>
      </c>
      <c r="D1099" s="29">
        <v>397875000</v>
      </c>
      <c r="E1099" s="29">
        <f>B1099-F1099</f>
        <v>2125000</v>
      </c>
      <c r="F1099" s="29">
        <v>397875000</v>
      </c>
      <c r="G1099" s="30">
        <v>100</v>
      </c>
      <c r="H1099" s="4"/>
      <c r="I1099" s="4"/>
    </row>
    <row r="1100" spans="1:14" ht="24" x14ac:dyDescent="0.25">
      <c r="A1100" s="28" t="s">
        <v>1047</v>
      </c>
      <c r="B1100" s="29">
        <v>200000000</v>
      </c>
      <c r="C1100" s="28" t="s">
        <v>104</v>
      </c>
      <c r="D1100" s="29">
        <v>197200000</v>
      </c>
      <c r="E1100" s="29">
        <f>B1100-F1100</f>
        <v>2800000</v>
      </c>
      <c r="F1100" s="29">
        <v>197200000</v>
      </c>
      <c r="G1100" s="30">
        <v>100</v>
      </c>
      <c r="H1100" s="4"/>
      <c r="I1100" s="4"/>
    </row>
    <row r="1101" spans="1:14" ht="24" x14ac:dyDescent="0.25">
      <c r="A1101" s="28" t="s">
        <v>1048</v>
      </c>
      <c r="B1101" s="29">
        <v>200000000</v>
      </c>
      <c r="C1101" s="28" t="s">
        <v>104</v>
      </c>
      <c r="D1101" s="29">
        <v>197450000</v>
      </c>
      <c r="E1101" s="29">
        <f>B1101-F1101</f>
        <v>2550000</v>
      </c>
      <c r="F1101" s="29">
        <v>197450000</v>
      </c>
      <c r="G1101" s="30">
        <v>100</v>
      </c>
      <c r="H1101" s="4"/>
      <c r="I1101" s="4"/>
    </row>
    <row r="1102" spans="1:14" ht="24" x14ac:dyDescent="0.25">
      <c r="A1102" s="28" t="s">
        <v>1049</v>
      </c>
      <c r="B1102" s="29">
        <v>200000000</v>
      </c>
      <c r="C1102" s="28" t="s">
        <v>104</v>
      </c>
      <c r="D1102" s="29">
        <v>197950000</v>
      </c>
      <c r="E1102" s="29">
        <f>B1102-F1102</f>
        <v>2050000</v>
      </c>
      <c r="F1102" s="29">
        <v>197950000</v>
      </c>
      <c r="G1102" s="30">
        <v>100</v>
      </c>
      <c r="H1102" s="4"/>
      <c r="I1102" s="4"/>
    </row>
    <row r="1103" spans="1:14" ht="24" x14ac:dyDescent="0.25">
      <c r="A1103" s="28" t="s">
        <v>1050</v>
      </c>
      <c r="B1103" s="29">
        <v>200000000</v>
      </c>
      <c r="C1103" s="28" t="s">
        <v>104</v>
      </c>
      <c r="D1103" s="29">
        <v>198500000</v>
      </c>
      <c r="E1103" s="29">
        <f>B1103-F1103</f>
        <v>1500000</v>
      </c>
      <c r="F1103" s="29">
        <v>198500000</v>
      </c>
      <c r="G1103" s="30">
        <v>100</v>
      </c>
      <c r="H1103" s="4"/>
      <c r="I1103" s="4"/>
    </row>
    <row r="1104" spans="1:14" ht="24" x14ac:dyDescent="0.25">
      <c r="A1104" s="28" t="s">
        <v>1051</v>
      </c>
      <c r="B1104" s="29">
        <v>400000000</v>
      </c>
      <c r="C1104" s="28" t="s">
        <v>104</v>
      </c>
      <c r="D1104" s="29">
        <f>119078850+277850650</f>
        <v>396929500</v>
      </c>
      <c r="E1104" s="29">
        <f>B1104-F1104</f>
        <v>3070500</v>
      </c>
      <c r="F1104" s="29">
        <f>119078850+277850650</f>
        <v>396929500</v>
      </c>
      <c r="G1104" s="30">
        <v>100</v>
      </c>
      <c r="H1104" s="4"/>
      <c r="I1104" s="4"/>
    </row>
    <row r="1105" spans="1:14" ht="24" x14ac:dyDescent="0.25">
      <c r="A1105" s="28" t="s">
        <v>1052</v>
      </c>
      <c r="B1105" s="29">
        <v>100000000</v>
      </c>
      <c r="C1105" s="28" t="s">
        <v>104</v>
      </c>
      <c r="D1105" s="29">
        <v>99100000</v>
      </c>
      <c r="E1105" s="29">
        <f>B1105-F1105</f>
        <v>900000</v>
      </c>
      <c r="F1105" s="29">
        <v>99100000</v>
      </c>
      <c r="G1105" s="30">
        <v>100</v>
      </c>
      <c r="H1105" s="4"/>
      <c r="I1105" s="4"/>
    </row>
    <row r="1106" spans="1:14" ht="24" x14ac:dyDescent="0.25">
      <c r="A1106" s="28" t="s">
        <v>1053</v>
      </c>
      <c r="B1106" s="29">
        <v>150000000</v>
      </c>
      <c r="C1106" s="28" t="s">
        <v>104</v>
      </c>
      <c r="D1106" s="29">
        <v>148000000</v>
      </c>
      <c r="E1106" s="29">
        <f>B1106-F1106</f>
        <v>2000000</v>
      </c>
      <c r="F1106" s="29">
        <v>148000000</v>
      </c>
      <c r="G1106" s="30">
        <v>100</v>
      </c>
      <c r="H1106" s="4"/>
      <c r="I1106" s="4"/>
    </row>
    <row r="1107" spans="1:14" ht="24" x14ac:dyDescent="0.25">
      <c r="A1107" s="28" t="s">
        <v>1054</v>
      </c>
      <c r="B1107" s="29">
        <v>200000000</v>
      </c>
      <c r="C1107" s="28" t="s">
        <v>104</v>
      </c>
      <c r="D1107" s="29">
        <v>197629000</v>
      </c>
      <c r="E1107" s="29">
        <f>B1107-F1107</f>
        <v>2371000</v>
      </c>
      <c r="F1107" s="29">
        <v>197629000</v>
      </c>
      <c r="G1107" s="30">
        <v>100</v>
      </c>
      <c r="H1107" s="4"/>
      <c r="I1107" s="4"/>
    </row>
    <row r="1108" spans="1:14" ht="24" x14ac:dyDescent="0.25">
      <c r="A1108" s="28" t="s">
        <v>1055</v>
      </c>
      <c r="B1108" s="29">
        <v>200000000</v>
      </c>
      <c r="C1108" s="28" t="s">
        <v>104</v>
      </c>
      <c r="D1108" s="29">
        <v>197668000</v>
      </c>
      <c r="E1108" s="29">
        <f>B1108-F1108</f>
        <v>2332000</v>
      </c>
      <c r="F1108" s="29">
        <v>197668000</v>
      </c>
      <c r="G1108" s="30">
        <v>100</v>
      </c>
      <c r="H1108" s="4"/>
      <c r="I1108" s="4"/>
    </row>
    <row r="1109" spans="1:14" ht="24" x14ac:dyDescent="0.25">
      <c r="A1109" s="28" t="s">
        <v>1056</v>
      </c>
      <c r="B1109" s="29">
        <v>200000000</v>
      </c>
      <c r="C1109" s="28" t="s">
        <v>104</v>
      </c>
      <c r="D1109" s="29">
        <v>197139000</v>
      </c>
      <c r="E1109" s="29">
        <f>B1109-F1109</f>
        <v>2861000</v>
      </c>
      <c r="F1109" s="29">
        <v>197139000</v>
      </c>
      <c r="G1109" s="30">
        <v>100</v>
      </c>
      <c r="H1109" s="4"/>
      <c r="I1109" s="4"/>
    </row>
    <row r="1110" spans="1:14" ht="24" x14ac:dyDescent="0.25">
      <c r="A1110" s="28" t="s">
        <v>1057</v>
      </c>
      <c r="B1110" s="29">
        <v>150000000</v>
      </c>
      <c r="C1110" s="28" t="s">
        <v>104</v>
      </c>
      <c r="D1110" s="29">
        <v>148363000</v>
      </c>
      <c r="E1110" s="29">
        <f>B1110-F1110</f>
        <v>1637000</v>
      </c>
      <c r="F1110" s="29">
        <v>148363000</v>
      </c>
      <c r="G1110" s="30">
        <v>100</v>
      </c>
      <c r="H1110" s="4"/>
      <c r="I1110" s="4"/>
    </row>
    <row r="1111" spans="1:14" ht="24" x14ac:dyDescent="0.25">
      <c r="A1111" s="28" t="s">
        <v>1058</v>
      </c>
      <c r="B1111" s="29">
        <v>150000000</v>
      </c>
      <c r="C1111" s="28" t="s">
        <v>104</v>
      </c>
      <c r="D1111" s="29">
        <v>148162000</v>
      </c>
      <c r="E1111" s="29">
        <f>B1111-F1111</f>
        <v>1838000</v>
      </c>
      <c r="F1111" s="29">
        <v>148162000</v>
      </c>
      <c r="G1111" s="30">
        <v>100</v>
      </c>
      <c r="H1111" s="4"/>
      <c r="I1111" s="4"/>
    </row>
    <row r="1112" spans="1:14" s="32" customFormat="1" ht="24" x14ac:dyDescent="0.25">
      <c r="A1112" s="28" t="s">
        <v>1059</v>
      </c>
      <c r="B1112" s="29">
        <v>200000000</v>
      </c>
      <c r="C1112" s="28" t="s">
        <v>104</v>
      </c>
      <c r="D1112" s="29">
        <v>196590000</v>
      </c>
      <c r="E1112" s="29">
        <f>B1112-F1112</f>
        <v>3410000</v>
      </c>
      <c r="F1112" s="29">
        <v>196590000</v>
      </c>
      <c r="G1112" s="30">
        <v>100</v>
      </c>
      <c r="H1112" s="4"/>
      <c r="I1112" s="4"/>
      <c r="J1112" s="4"/>
      <c r="K1112" s="4"/>
      <c r="L1112" s="4"/>
      <c r="M1112" s="4"/>
      <c r="N1112" s="4"/>
    </row>
    <row r="1113" spans="1:14" ht="24" x14ac:dyDescent="0.25">
      <c r="A1113" s="28" t="s">
        <v>1060</v>
      </c>
      <c r="B1113" s="29">
        <v>150000000</v>
      </c>
      <c r="C1113" s="28" t="s">
        <v>104</v>
      </c>
      <c r="D1113" s="29">
        <v>147790000</v>
      </c>
      <c r="E1113" s="29">
        <f>B1113-F1113</f>
        <v>2210000</v>
      </c>
      <c r="F1113" s="29">
        <v>147790000</v>
      </c>
      <c r="G1113" s="30">
        <v>100</v>
      </c>
      <c r="H1113" s="4"/>
      <c r="I1113" s="4"/>
    </row>
    <row r="1114" spans="1:14" ht="24" x14ac:dyDescent="0.25">
      <c r="A1114" s="28" t="s">
        <v>1061</v>
      </c>
      <c r="B1114" s="29">
        <v>100000000</v>
      </c>
      <c r="C1114" s="28" t="s">
        <v>104</v>
      </c>
      <c r="D1114" s="29">
        <v>98263000</v>
      </c>
      <c r="E1114" s="29">
        <f>B1114-F1114</f>
        <v>1737000</v>
      </c>
      <c r="F1114" s="29">
        <v>98263000</v>
      </c>
      <c r="G1114" s="30">
        <v>100</v>
      </c>
      <c r="H1114" s="4"/>
      <c r="I1114" s="4"/>
    </row>
    <row r="1115" spans="1:14" ht="30" customHeight="1" x14ac:dyDescent="0.25">
      <c r="A1115" s="28" t="s">
        <v>1062</v>
      </c>
      <c r="B1115" s="29">
        <v>213722000</v>
      </c>
      <c r="C1115" s="28" t="s">
        <v>104</v>
      </c>
      <c r="D1115" s="29">
        <v>213722000</v>
      </c>
      <c r="E1115" s="29">
        <f>B1115-F1115</f>
        <v>0</v>
      </c>
      <c r="F1115" s="29">
        <v>213722000</v>
      </c>
      <c r="G1115" s="30">
        <v>100</v>
      </c>
      <c r="H1115" s="4"/>
      <c r="I1115" s="4"/>
      <c r="J1115" s="32"/>
      <c r="K1115" s="32"/>
      <c r="L1115" s="32"/>
      <c r="M1115" s="32"/>
      <c r="N1115" s="32"/>
    </row>
    <row r="1116" spans="1:14" ht="24" x14ac:dyDescent="0.25">
      <c r="A1116" s="28" t="s">
        <v>1063</v>
      </c>
      <c r="B1116" s="29">
        <v>200000000</v>
      </c>
      <c r="C1116" s="28" t="s">
        <v>104</v>
      </c>
      <c r="D1116" s="29">
        <v>197070000</v>
      </c>
      <c r="E1116" s="29">
        <f>B1116-F1116</f>
        <v>2930000</v>
      </c>
      <c r="F1116" s="29">
        <v>197070000</v>
      </c>
      <c r="G1116" s="30">
        <v>100</v>
      </c>
      <c r="H1116" s="4"/>
      <c r="I1116" s="4"/>
    </row>
    <row r="1117" spans="1:14" ht="24" x14ac:dyDescent="0.25">
      <c r="A1117" s="28" t="s">
        <v>1064</v>
      </c>
      <c r="B1117" s="29">
        <v>200000000</v>
      </c>
      <c r="C1117" s="28" t="s">
        <v>104</v>
      </c>
      <c r="D1117" s="29">
        <v>197098000</v>
      </c>
      <c r="E1117" s="29">
        <f>B1117-F1117</f>
        <v>2902000</v>
      </c>
      <c r="F1117" s="29">
        <v>197098000</v>
      </c>
      <c r="G1117" s="30">
        <v>100</v>
      </c>
      <c r="H1117" s="4"/>
      <c r="I1117" s="4"/>
    </row>
    <row r="1118" spans="1:14" x14ac:dyDescent="0.25">
      <c r="A1118" s="12" t="s">
        <v>1065</v>
      </c>
      <c r="B1118" s="13">
        <f>SUM(B1119,B1130,B1142)</f>
        <v>860976680</v>
      </c>
      <c r="C1118" s="12"/>
      <c r="D1118" s="13"/>
      <c r="E1118" s="13">
        <f>SUM(E1119,E1130,E1142)</f>
        <v>39374886</v>
      </c>
      <c r="F1118" s="13">
        <f>SUM(F1119,F1130,F1142)</f>
        <v>821601794</v>
      </c>
      <c r="G1118" s="14">
        <f>AVERAGE(G1119,G1130,G1142)</f>
        <v>100</v>
      </c>
      <c r="H1118" s="22"/>
      <c r="I1118" s="16"/>
    </row>
    <row r="1119" spans="1:14" x14ac:dyDescent="0.25">
      <c r="A1119" s="17" t="s">
        <v>1066</v>
      </c>
      <c r="B1119" s="18">
        <f>SUM(B1120,B1123,B1126,B1128)</f>
        <v>193200090</v>
      </c>
      <c r="C1119" s="19"/>
      <c r="D1119" s="20"/>
      <c r="E1119" s="18">
        <f>SUM(E1120,E1123,E1126,E1128)</f>
        <v>2951806</v>
      </c>
      <c r="F1119" s="18">
        <f>SUM(F1120,F1123,F1126,F1128)</f>
        <v>190248284</v>
      </c>
      <c r="G1119" s="21">
        <f>AVERAGE(G1120,G1123,G1126,G1128)</f>
        <v>100</v>
      </c>
      <c r="H1119" s="22"/>
      <c r="I1119" s="16"/>
    </row>
    <row r="1120" spans="1:14" ht="24" x14ac:dyDescent="0.25">
      <c r="A1120" s="23" t="s">
        <v>1067</v>
      </c>
      <c r="B1120" s="24">
        <f>SUM(B1121:B1122)</f>
        <v>53342500</v>
      </c>
      <c r="C1120" s="25"/>
      <c r="D1120" s="26"/>
      <c r="E1120" s="24">
        <f>SUM(E1121:E1122)</f>
        <v>342500</v>
      </c>
      <c r="F1120" s="24">
        <f>SUM(F1121:F1122)</f>
        <v>53000000</v>
      </c>
      <c r="G1120" s="27">
        <v>100</v>
      </c>
      <c r="H1120" s="16"/>
      <c r="I1120" s="16"/>
    </row>
    <row r="1121" spans="1:9" x14ac:dyDescent="0.25">
      <c r="A1121" s="28" t="s">
        <v>1068</v>
      </c>
      <c r="B1121" s="29">
        <v>39200000</v>
      </c>
      <c r="C1121" s="28" t="s">
        <v>15</v>
      </c>
      <c r="D1121" s="29">
        <f>F1121</f>
        <v>39200000</v>
      </c>
      <c r="E1121" s="29">
        <f>B1121-F1121</f>
        <v>0</v>
      </c>
      <c r="F1121" s="29">
        <v>39200000</v>
      </c>
      <c r="G1121" s="30">
        <v>100</v>
      </c>
      <c r="H1121" s="22"/>
      <c r="I1121" s="16"/>
    </row>
    <row r="1122" spans="1:9" x14ac:dyDescent="0.25">
      <c r="A1122" s="28" t="s">
        <v>94</v>
      </c>
      <c r="B1122" s="29">
        <v>14142500</v>
      </c>
      <c r="C1122" s="28" t="s">
        <v>15</v>
      </c>
      <c r="D1122" s="29">
        <f>F1122</f>
        <v>13800000</v>
      </c>
      <c r="E1122" s="29">
        <f>B1122-F1122</f>
        <v>342500</v>
      </c>
      <c r="F1122" s="29">
        <f>1150000+3975000+7500000+1175000</f>
        <v>13800000</v>
      </c>
      <c r="G1122" s="30">
        <f>F1122/B1122*100</f>
        <v>97.578221672264448</v>
      </c>
      <c r="H1122" s="22"/>
      <c r="I1122" s="16"/>
    </row>
    <row r="1123" spans="1:9" ht="24" x14ac:dyDescent="0.25">
      <c r="A1123" s="23" t="s">
        <v>1069</v>
      </c>
      <c r="B1123" s="24">
        <f>SUM(B1124:B1125)</f>
        <v>33819000</v>
      </c>
      <c r="C1123" s="25"/>
      <c r="D1123" s="26"/>
      <c r="E1123" s="24">
        <f>SUM(E1124:E1125)</f>
        <v>281016</v>
      </c>
      <c r="F1123" s="24">
        <f>SUM(F1124:F1125)</f>
        <v>33537984</v>
      </c>
      <c r="G1123" s="27">
        <f>AVERAGE(G1124)</f>
        <v>100</v>
      </c>
      <c r="H1123" s="16"/>
      <c r="I1123" s="16"/>
    </row>
    <row r="1124" spans="1:9" x14ac:dyDescent="0.25">
      <c r="A1124" s="28" t="s">
        <v>1070</v>
      </c>
      <c r="B1124" s="29">
        <v>17600000</v>
      </c>
      <c r="C1124" s="28" t="s">
        <v>15</v>
      </c>
      <c r="D1124" s="29">
        <f>F1124</f>
        <v>17600000</v>
      </c>
      <c r="E1124" s="29">
        <f>B1124-F1124</f>
        <v>0</v>
      </c>
      <c r="F1124" s="29">
        <v>17600000</v>
      </c>
      <c r="G1124" s="30">
        <f>F1124/B1124*100</f>
        <v>100</v>
      </c>
      <c r="H1124" s="22"/>
      <c r="I1124" s="16"/>
    </row>
    <row r="1125" spans="1:9" x14ac:dyDescent="0.25">
      <c r="A1125" s="28" t="s">
        <v>94</v>
      </c>
      <c r="B1125" s="29">
        <v>16219000</v>
      </c>
      <c r="C1125" s="28" t="s">
        <v>15</v>
      </c>
      <c r="D1125" s="29">
        <f>F1125</f>
        <v>15937984</v>
      </c>
      <c r="E1125" s="29">
        <f>B1125-F1125</f>
        <v>281016</v>
      </c>
      <c r="F1125" s="29">
        <f>7158384+2379600+6400000</f>
        <v>15937984</v>
      </c>
      <c r="G1125" s="30">
        <f>F1125/B1125*100</f>
        <v>98.267365435600212</v>
      </c>
      <c r="H1125" s="22"/>
      <c r="I1125" s="16"/>
    </row>
    <row r="1126" spans="1:9" ht="24" x14ac:dyDescent="0.25">
      <c r="A1126" s="23" t="s">
        <v>1071</v>
      </c>
      <c r="B1126" s="24">
        <f>SUM(B1127)</f>
        <v>4379500</v>
      </c>
      <c r="C1126" s="25"/>
      <c r="D1126" s="26"/>
      <c r="E1126" s="24">
        <f>SUM(E1127)</f>
        <v>15100</v>
      </c>
      <c r="F1126" s="24">
        <f>SUM(F1127)</f>
        <v>4364400</v>
      </c>
      <c r="G1126" s="27">
        <f>G1127</f>
        <v>100</v>
      </c>
      <c r="H1126" s="22"/>
      <c r="I1126" s="16"/>
    </row>
    <row r="1127" spans="1:9" x14ac:dyDescent="0.25">
      <c r="A1127" s="28" t="s">
        <v>14</v>
      </c>
      <c r="B1127" s="29">
        <v>4379500</v>
      </c>
      <c r="C1127" s="28" t="s">
        <v>15</v>
      </c>
      <c r="D1127" s="29">
        <f>F1127</f>
        <v>4364400</v>
      </c>
      <c r="E1127" s="29">
        <f>B1127-F1127</f>
        <v>15100</v>
      </c>
      <c r="F1127" s="29">
        <f>779400+3585000</f>
        <v>4364400</v>
      </c>
      <c r="G1127" s="30">
        <v>100</v>
      </c>
      <c r="H1127" s="22"/>
      <c r="I1127" s="16"/>
    </row>
    <row r="1128" spans="1:9" ht="24" x14ac:dyDescent="0.25">
      <c r="A1128" s="23" t="s">
        <v>1072</v>
      </c>
      <c r="B1128" s="24">
        <f>SUM(B1129)</f>
        <v>101659090</v>
      </c>
      <c r="C1128" s="25"/>
      <c r="D1128" s="26"/>
      <c r="E1128" s="24">
        <f>SUM(E1129)</f>
        <v>2313190</v>
      </c>
      <c r="F1128" s="24">
        <f>SUM(F1129)</f>
        <v>99345900</v>
      </c>
      <c r="G1128" s="27">
        <f>G1129</f>
        <v>100</v>
      </c>
      <c r="H1128" s="22"/>
      <c r="I1128" s="16"/>
    </row>
    <row r="1129" spans="1:9" x14ac:dyDescent="0.25">
      <c r="A1129" s="28" t="s">
        <v>14</v>
      </c>
      <c r="B1129" s="29">
        <v>101659090</v>
      </c>
      <c r="C1129" s="28" t="s">
        <v>15</v>
      </c>
      <c r="D1129" s="29">
        <f>F1129</f>
        <v>99345900</v>
      </c>
      <c r="E1129" s="29">
        <f>B1129-F1129</f>
        <v>2313190</v>
      </c>
      <c r="F1129" s="29">
        <v>99345900</v>
      </c>
      <c r="G1129" s="30">
        <v>100</v>
      </c>
      <c r="H1129" s="22"/>
      <c r="I1129" s="16"/>
    </row>
    <row r="1130" spans="1:9" ht="24" x14ac:dyDescent="0.25">
      <c r="A1130" s="17" t="s">
        <v>1073</v>
      </c>
      <c r="B1130" s="18">
        <f>SUM(B1131,B1134)</f>
        <v>407356375</v>
      </c>
      <c r="C1130" s="19"/>
      <c r="D1130" s="20"/>
      <c r="E1130" s="18">
        <f>SUM(E1131,E1134)</f>
        <v>17855765</v>
      </c>
      <c r="F1130" s="18">
        <f>SUM(F1131,F1134)</f>
        <v>389500610</v>
      </c>
      <c r="G1130" s="21">
        <f>AVERAGE(G1131,G1134)</f>
        <v>100</v>
      </c>
      <c r="H1130" s="22"/>
      <c r="I1130" s="16"/>
    </row>
    <row r="1131" spans="1:9" ht="24" x14ac:dyDescent="0.25">
      <c r="A1131" s="23" t="s">
        <v>1074</v>
      </c>
      <c r="B1131" s="24">
        <f>SUM(B1132:B1133)</f>
        <v>26245875</v>
      </c>
      <c r="C1131" s="25"/>
      <c r="D1131" s="26"/>
      <c r="E1131" s="24">
        <f>SUM(E1132:E1133)</f>
        <v>1945875</v>
      </c>
      <c r="F1131" s="24">
        <f>SUM(F1132:F1133)</f>
        <v>24300000</v>
      </c>
      <c r="G1131" s="27">
        <f>AVERAGE(G1133)</f>
        <v>100</v>
      </c>
      <c r="H1131" s="16"/>
      <c r="I1131" s="16"/>
    </row>
    <row r="1132" spans="1:9" x14ac:dyDescent="0.25">
      <c r="A1132" s="28" t="s">
        <v>14</v>
      </c>
      <c r="B1132" s="29">
        <v>1266250</v>
      </c>
      <c r="C1132" s="28" t="s">
        <v>15</v>
      </c>
      <c r="D1132" s="29">
        <f>F1132</f>
        <v>300000</v>
      </c>
      <c r="E1132" s="29">
        <f>B1132-F1132</f>
        <v>966250</v>
      </c>
      <c r="F1132" s="29">
        <v>300000</v>
      </c>
      <c r="G1132" s="30">
        <f>F1132/B1132*100</f>
        <v>23.692003948667324</v>
      </c>
      <c r="H1132" s="22"/>
      <c r="I1132" s="16"/>
    </row>
    <row r="1133" spans="1:9" ht="24" x14ac:dyDescent="0.25">
      <c r="A1133" s="28" t="s">
        <v>1075</v>
      </c>
      <c r="B1133" s="29">
        <v>24979625</v>
      </c>
      <c r="C1133" s="28" t="s">
        <v>111</v>
      </c>
      <c r="D1133" s="29">
        <v>24000000</v>
      </c>
      <c r="E1133" s="29">
        <f>B1133-F1133</f>
        <v>979625</v>
      </c>
      <c r="F1133" s="29">
        <v>24000000</v>
      </c>
      <c r="G1133" s="30">
        <v>100</v>
      </c>
      <c r="H1133" s="22"/>
      <c r="I1133" s="16"/>
    </row>
    <row r="1134" spans="1:9" ht="24" x14ac:dyDescent="0.25">
      <c r="A1134" s="23" t="s">
        <v>1076</v>
      </c>
      <c r="B1134" s="24">
        <f>SUM(B1135:B1141)</f>
        <v>381110500</v>
      </c>
      <c r="C1134" s="25"/>
      <c r="D1134" s="26"/>
      <c r="E1134" s="24">
        <f>SUM(E1135:E1141)</f>
        <v>15909890</v>
      </c>
      <c r="F1134" s="24">
        <f>SUM(F1135:F1141)</f>
        <v>365200610</v>
      </c>
      <c r="G1134" s="27">
        <f>AVERAGE(G1136:G1141)</f>
        <v>100</v>
      </c>
      <c r="H1134" s="16"/>
      <c r="I1134" s="16"/>
    </row>
    <row r="1135" spans="1:9" x14ac:dyDescent="0.25">
      <c r="A1135" s="28" t="s">
        <v>14</v>
      </c>
      <c r="B1135" s="29">
        <f>113901000-31605500-7260000</f>
        <v>75035500</v>
      </c>
      <c r="C1135" s="28" t="s">
        <v>15</v>
      </c>
      <c r="D1135" s="29">
        <f>F1135</f>
        <v>61449110</v>
      </c>
      <c r="E1135" s="29">
        <f>B1135-F1135</f>
        <v>13586390</v>
      </c>
      <c r="F1135" s="29">
        <f>402000+4260000+22040000+5590000+29157110</f>
        <v>61449110</v>
      </c>
      <c r="G1135" s="30">
        <f>F1135/B1135*100</f>
        <v>81.893383798335449</v>
      </c>
      <c r="H1135" s="22"/>
      <c r="I1135" s="16"/>
    </row>
    <row r="1136" spans="1:9" ht="24" x14ac:dyDescent="0.25">
      <c r="A1136" s="28" t="s">
        <v>1077</v>
      </c>
      <c r="B1136" s="29">
        <v>51012500</v>
      </c>
      <c r="C1136" s="28" t="s">
        <v>111</v>
      </c>
      <c r="D1136" s="29">
        <v>50838000</v>
      </c>
      <c r="E1136" s="29">
        <f>B1136-F1136</f>
        <v>174500</v>
      </c>
      <c r="F1136" s="29">
        <v>50838000</v>
      </c>
      <c r="G1136" s="30">
        <v>100</v>
      </c>
      <c r="H1136" s="22"/>
      <c r="I1136" s="16"/>
    </row>
    <row r="1137" spans="1:9" ht="24" x14ac:dyDescent="0.25">
      <c r="A1137" s="28" t="s">
        <v>1078</v>
      </c>
      <c r="B1137" s="29">
        <v>51012500</v>
      </c>
      <c r="C1137" s="28" t="s">
        <v>111</v>
      </c>
      <c r="D1137" s="29">
        <v>50727000</v>
      </c>
      <c r="E1137" s="29">
        <f>B1137-F1137</f>
        <v>285500</v>
      </c>
      <c r="F1137" s="29">
        <v>50727000</v>
      </c>
      <c r="G1137" s="30">
        <v>100</v>
      </c>
      <c r="H1137" s="22"/>
      <c r="I1137" s="16"/>
    </row>
    <row r="1138" spans="1:9" ht="24" x14ac:dyDescent="0.25">
      <c r="A1138" s="28" t="s">
        <v>1079</v>
      </c>
      <c r="B1138" s="29">
        <v>51012500</v>
      </c>
      <c r="C1138" s="28" t="s">
        <v>111</v>
      </c>
      <c r="D1138" s="29">
        <v>50283000</v>
      </c>
      <c r="E1138" s="29">
        <f>B1138-F1138</f>
        <v>729500</v>
      </c>
      <c r="F1138" s="29">
        <v>50283000</v>
      </c>
      <c r="G1138" s="30">
        <v>100</v>
      </c>
      <c r="H1138" s="22"/>
      <c r="I1138" s="16"/>
    </row>
    <row r="1139" spans="1:9" ht="24" x14ac:dyDescent="0.25">
      <c r="A1139" s="28" t="s">
        <v>1080</v>
      </c>
      <c r="B1139" s="29">
        <v>51012500</v>
      </c>
      <c r="C1139" s="28" t="s">
        <v>111</v>
      </c>
      <c r="D1139" s="29">
        <v>50616000</v>
      </c>
      <c r="E1139" s="29">
        <f>B1139-F1139</f>
        <v>396500</v>
      </c>
      <c r="F1139" s="29">
        <v>50616000</v>
      </c>
      <c r="G1139" s="30">
        <v>100</v>
      </c>
      <c r="H1139" s="22"/>
      <c r="I1139" s="16"/>
    </row>
    <row r="1140" spans="1:9" ht="24" x14ac:dyDescent="0.25">
      <c r="A1140" s="28" t="s">
        <v>1081</v>
      </c>
      <c r="B1140" s="29">
        <v>51012500</v>
      </c>
      <c r="C1140" s="28" t="s">
        <v>111</v>
      </c>
      <c r="D1140" s="29">
        <v>50505000</v>
      </c>
      <c r="E1140" s="29">
        <f>B1140-F1140</f>
        <v>507500</v>
      </c>
      <c r="F1140" s="29">
        <v>50505000</v>
      </c>
      <c r="G1140" s="30">
        <v>100</v>
      </c>
      <c r="H1140" s="22"/>
      <c r="I1140" s="16"/>
    </row>
    <row r="1141" spans="1:9" ht="24" x14ac:dyDescent="0.25">
      <c r="A1141" s="28" t="s">
        <v>1082</v>
      </c>
      <c r="B1141" s="29">
        <v>51012500</v>
      </c>
      <c r="C1141" s="28" t="s">
        <v>111</v>
      </c>
      <c r="D1141" s="29">
        <v>50782500</v>
      </c>
      <c r="E1141" s="29">
        <f>B1141-F1141</f>
        <v>230000</v>
      </c>
      <c r="F1141" s="29">
        <v>50782500</v>
      </c>
      <c r="G1141" s="30">
        <v>100</v>
      </c>
      <c r="H1141" s="22"/>
      <c r="I1141" s="16"/>
    </row>
    <row r="1142" spans="1:9" ht="24" x14ac:dyDescent="0.25">
      <c r="A1142" s="17" t="s">
        <v>1083</v>
      </c>
      <c r="B1142" s="18">
        <f>SUM(B1143,B1145)</f>
        <v>260420215</v>
      </c>
      <c r="C1142" s="19"/>
      <c r="D1142" s="20"/>
      <c r="E1142" s="18">
        <f>SUM(E1143,E1145)</f>
        <v>18567315</v>
      </c>
      <c r="F1142" s="18">
        <f>SUM(F1143,F1145)</f>
        <v>241852900</v>
      </c>
      <c r="G1142" s="21">
        <f>AVERAGE(G1143,G1145)</f>
        <v>100</v>
      </c>
      <c r="H1142" s="22"/>
      <c r="I1142" s="16"/>
    </row>
    <row r="1143" spans="1:9" ht="24" x14ac:dyDescent="0.25">
      <c r="A1143" s="23" t="s">
        <v>1084</v>
      </c>
      <c r="B1143" s="24">
        <f>SUM(B1144)</f>
        <v>4216500</v>
      </c>
      <c r="C1143" s="25"/>
      <c r="D1143" s="26"/>
      <c r="E1143" s="24">
        <f>SUM(E1144)</f>
        <v>195000</v>
      </c>
      <c r="F1143" s="24">
        <f>SUM(F1144)</f>
        <v>4021500</v>
      </c>
      <c r="G1143" s="27">
        <f>G1144</f>
        <v>100</v>
      </c>
      <c r="H1143" s="22"/>
      <c r="I1143" s="16"/>
    </row>
    <row r="1144" spans="1:9" x14ac:dyDescent="0.25">
      <c r="A1144" s="28" t="s">
        <v>14</v>
      </c>
      <c r="B1144" s="29">
        <v>4216500</v>
      </c>
      <c r="C1144" s="28" t="s">
        <v>15</v>
      </c>
      <c r="D1144" s="29">
        <f>F1144</f>
        <v>4021500</v>
      </c>
      <c r="E1144" s="29">
        <f>B1144-F1144</f>
        <v>195000</v>
      </c>
      <c r="F1144" s="29">
        <f>616500+3405000</f>
        <v>4021500</v>
      </c>
      <c r="G1144" s="30">
        <v>100</v>
      </c>
      <c r="H1144" s="22"/>
      <c r="I1144" s="16"/>
    </row>
    <row r="1145" spans="1:9" ht="24" x14ac:dyDescent="0.25">
      <c r="A1145" s="23" t="s">
        <v>1085</v>
      </c>
      <c r="B1145" s="24">
        <f>SUM(B1146:B1147)</f>
        <v>256203715</v>
      </c>
      <c r="C1145" s="25"/>
      <c r="D1145" s="26"/>
      <c r="E1145" s="24">
        <f>SUM(E1146:E1147)</f>
        <v>18372315</v>
      </c>
      <c r="F1145" s="24">
        <f>SUM(F1146:F1147)</f>
        <v>237831400</v>
      </c>
      <c r="G1145" s="27">
        <f>AVERAGE(G1146:G1147)</f>
        <v>100</v>
      </c>
      <c r="H1145" s="16"/>
      <c r="I1145" s="16"/>
    </row>
    <row r="1146" spans="1:9" x14ac:dyDescent="0.25">
      <c r="A1146" s="28" t="s">
        <v>14</v>
      </c>
      <c r="B1146" s="29">
        <v>113203715</v>
      </c>
      <c r="C1146" s="28" t="s">
        <v>15</v>
      </c>
      <c r="D1146" s="29">
        <f>F1146</f>
        <v>110231400</v>
      </c>
      <c r="E1146" s="29">
        <f>B1146-F1146</f>
        <v>2972315</v>
      </c>
      <c r="F1146" s="29">
        <f>54866600+3050000+5160000+5000000+3800000+20780000+8942000+3220000+3352800+2060000</f>
        <v>110231400</v>
      </c>
      <c r="G1146" s="30">
        <v>100</v>
      </c>
      <c r="H1146" s="22"/>
      <c r="I1146" s="16"/>
    </row>
    <row r="1147" spans="1:9" x14ac:dyDescent="0.25">
      <c r="A1147" s="28" t="s">
        <v>1086</v>
      </c>
      <c r="B1147" s="29">
        <v>143000000</v>
      </c>
      <c r="C1147" s="28" t="s">
        <v>93</v>
      </c>
      <c r="D1147" s="29">
        <v>143000000</v>
      </c>
      <c r="E1147" s="29">
        <f>B1147-F1147</f>
        <v>15400000</v>
      </c>
      <c r="F1147" s="29">
        <v>127600000</v>
      </c>
      <c r="G1147" s="30">
        <v>100</v>
      </c>
      <c r="H1147" s="22"/>
      <c r="I1147" s="16"/>
    </row>
    <row r="1148" spans="1:9" x14ac:dyDescent="0.25">
      <c r="A1148" s="12" t="s">
        <v>1087</v>
      </c>
      <c r="B1148" s="13">
        <f>SUM(B1149,B1155,B1179,B1192)</f>
        <v>2303686250</v>
      </c>
      <c r="C1148" s="12"/>
      <c r="D1148" s="13"/>
      <c r="E1148" s="13">
        <f>SUM(E1149,E1155,E1179,E1192)</f>
        <v>175631699</v>
      </c>
      <c r="F1148" s="13">
        <f>SUM(F1149,F1155,F1179,F1192)</f>
        <v>2128054551</v>
      </c>
      <c r="G1148" s="14">
        <f>AVERAGE(G1149,G1155,G1179,G1192)</f>
        <v>91.52971470989867</v>
      </c>
      <c r="H1148" s="22"/>
      <c r="I1148" s="16"/>
    </row>
    <row r="1149" spans="1:9" ht="24" x14ac:dyDescent="0.25">
      <c r="A1149" s="17" t="s">
        <v>1088</v>
      </c>
      <c r="B1149" s="18">
        <f>SUM(B1150,B1152)</f>
        <v>169940000</v>
      </c>
      <c r="C1149" s="19"/>
      <c r="D1149" s="20"/>
      <c r="E1149" s="18">
        <f>SUM(E1150,E1152)</f>
        <v>34894313</v>
      </c>
      <c r="F1149" s="18">
        <f>SUM(F1150,F1152)</f>
        <v>135045687</v>
      </c>
      <c r="G1149" s="21">
        <f>AVERAGE(G1150,G1152)</f>
        <v>95.595751124131354</v>
      </c>
      <c r="H1149" s="22"/>
      <c r="I1149" s="16"/>
    </row>
    <row r="1150" spans="1:9" x14ac:dyDescent="0.25">
      <c r="A1150" s="23" t="s">
        <v>1089</v>
      </c>
      <c r="B1150" s="24">
        <f>B1151</f>
        <v>10750000</v>
      </c>
      <c r="C1150" s="25"/>
      <c r="D1150" s="26"/>
      <c r="E1150" s="24">
        <f>E1151</f>
        <v>6565200</v>
      </c>
      <c r="F1150" s="24">
        <f>F1151</f>
        <v>4184800</v>
      </c>
      <c r="G1150" s="27">
        <f>G1151</f>
        <v>100</v>
      </c>
      <c r="H1150" s="22"/>
      <c r="I1150" s="16"/>
    </row>
    <row r="1151" spans="1:9" x14ac:dyDescent="0.25">
      <c r="A1151" s="28" t="s">
        <v>14</v>
      </c>
      <c r="B1151" s="29">
        <v>10750000</v>
      </c>
      <c r="C1151" s="28" t="s">
        <v>15</v>
      </c>
      <c r="D1151" s="29">
        <f>F1151</f>
        <v>4184800</v>
      </c>
      <c r="E1151" s="29">
        <f>B1151-F1151</f>
        <v>6565200</v>
      </c>
      <c r="F1151" s="29">
        <v>4184800</v>
      </c>
      <c r="G1151" s="30">
        <v>100</v>
      </c>
      <c r="H1151" s="22"/>
      <c r="I1151" s="16"/>
    </row>
    <row r="1152" spans="1:9" x14ac:dyDescent="0.25">
      <c r="A1152" s="23" t="s">
        <v>1090</v>
      </c>
      <c r="B1152" s="24">
        <f>SUM(B1153:B1154)</f>
        <v>159190000</v>
      </c>
      <c r="C1152" s="25"/>
      <c r="D1152" s="26"/>
      <c r="E1152" s="24">
        <f>SUM(E1153:E1154)</f>
        <v>28329113</v>
      </c>
      <c r="F1152" s="24">
        <f>SUM(F1153:F1154)</f>
        <v>130860887</v>
      </c>
      <c r="G1152" s="27">
        <f>AVERAGE(G1153:G1154)</f>
        <v>91.191502248262708</v>
      </c>
      <c r="H1152" s="16"/>
      <c r="I1152" s="16"/>
    </row>
    <row r="1153" spans="1:14" x14ac:dyDescent="0.25">
      <c r="A1153" s="28" t="s">
        <v>92</v>
      </c>
      <c r="B1153" s="29">
        <v>85800000</v>
      </c>
      <c r="C1153" s="28" t="s">
        <v>93</v>
      </c>
      <c r="D1153" s="29">
        <f>B1153</f>
        <v>85800000</v>
      </c>
      <c r="E1153" s="29">
        <f>B1153-F1153</f>
        <v>15400000</v>
      </c>
      <c r="F1153" s="29">
        <v>70400000</v>
      </c>
      <c r="G1153" s="30">
        <v>100</v>
      </c>
      <c r="H1153" s="22"/>
      <c r="I1153" s="16"/>
    </row>
    <row r="1154" spans="1:14" x14ac:dyDescent="0.25">
      <c r="A1154" s="28" t="s">
        <v>94</v>
      </c>
      <c r="B1154" s="29">
        <f>4672500+6000000+62717500</f>
        <v>73390000</v>
      </c>
      <c r="C1154" s="28" t="s">
        <v>15</v>
      </c>
      <c r="D1154" s="29">
        <f>F1154</f>
        <v>60460887</v>
      </c>
      <c r="E1154" s="29">
        <f>B1154-F1154</f>
        <v>12929113</v>
      </c>
      <c r="F1154" s="29">
        <f>622500+3725000+2700000+16416100+300000+36697287</f>
        <v>60460887</v>
      </c>
      <c r="G1154" s="30">
        <f>F1154/B1154*100</f>
        <v>82.383004496525416</v>
      </c>
      <c r="H1154" s="22"/>
      <c r="I1154" s="16"/>
    </row>
    <row r="1155" spans="1:14" s="32" customFormat="1" ht="24" x14ac:dyDescent="0.25">
      <c r="A1155" s="17" t="s">
        <v>1091</v>
      </c>
      <c r="B1155" s="18">
        <f>SUM(B1156,B1160)</f>
        <v>1820941750</v>
      </c>
      <c r="C1155" s="19"/>
      <c r="D1155" s="20"/>
      <c r="E1155" s="18">
        <f>SUM(E1156,E1160)</f>
        <v>107348168</v>
      </c>
      <c r="F1155" s="18">
        <f>SUM(F1156,F1160)</f>
        <v>1713593582</v>
      </c>
      <c r="G1155" s="21">
        <f>AVERAGE(G1156,G1160)</f>
        <v>99.317477528805028</v>
      </c>
      <c r="H1155" s="22"/>
      <c r="I1155" s="16"/>
      <c r="J1155" s="4"/>
      <c r="K1155" s="4"/>
      <c r="L1155" s="4"/>
      <c r="M1155" s="4"/>
      <c r="N1155" s="4"/>
    </row>
    <row r="1156" spans="1:14" x14ac:dyDescent="0.25">
      <c r="A1156" s="23" t="s">
        <v>1092</v>
      </c>
      <c r="B1156" s="24">
        <f>SUM(B1157:B1159)</f>
        <v>151355000</v>
      </c>
      <c r="C1156" s="25"/>
      <c r="D1156" s="26"/>
      <c r="E1156" s="24">
        <f>SUM(E1157:E1159)</f>
        <v>6210243</v>
      </c>
      <c r="F1156" s="24">
        <f>SUM(F1157:F1159)</f>
        <v>145144757</v>
      </c>
      <c r="G1156" s="27">
        <f>AVERAGE(G1158:G1159)</f>
        <v>100</v>
      </c>
      <c r="H1156" s="22"/>
      <c r="I1156" s="16"/>
    </row>
    <row r="1157" spans="1:14" x14ac:dyDescent="0.25">
      <c r="A1157" s="28" t="s">
        <v>14</v>
      </c>
      <c r="B1157" s="29">
        <v>22155000</v>
      </c>
      <c r="C1157" s="28" t="s">
        <v>15</v>
      </c>
      <c r="D1157" s="29">
        <f>F1157</f>
        <v>17272757</v>
      </c>
      <c r="E1157" s="29">
        <f>B1157-F1157</f>
        <v>4882243</v>
      </c>
      <c r="F1157" s="29">
        <f>1500000+340500+1350000+14082257</f>
        <v>17272757</v>
      </c>
      <c r="G1157" s="30">
        <f>F1157/B1157*100</f>
        <v>77.963245317084187</v>
      </c>
      <c r="H1157" s="22"/>
      <c r="I1157" s="16"/>
    </row>
    <row r="1158" spans="1:14" ht="24" x14ac:dyDescent="0.25">
      <c r="A1158" s="28" t="s">
        <v>1093</v>
      </c>
      <c r="B1158" s="29">
        <v>64600000</v>
      </c>
      <c r="C1158" s="28" t="s">
        <v>111</v>
      </c>
      <c r="D1158" s="29">
        <v>63936000</v>
      </c>
      <c r="E1158" s="29">
        <f>B1158-F1158</f>
        <v>664000</v>
      </c>
      <c r="F1158" s="29">
        <v>63936000</v>
      </c>
      <c r="G1158" s="30">
        <v>100</v>
      </c>
      <c r="H1158" s="22"/>
      <c r="I1158" s="16"/>
      <c r="J1158" s="32"/>
      <c r="K1158" s="32"/>
      <c r="L1158" s="32"/>
      <c r="M1158" s="32"/>
      <c r="N1158" s="32"/>
    </row>
    <row r="1159" spans="1:14" ht="24" x14ac:dyDescent="0.25">
      <c r="A1159" s="28" t="s">
        <v>1094</v>
      </c>
      <c r="B1159" s="29">
        <v>64600000</v>
      </c>
      <c r="C1159" s="28" t="s">
        <v>111</v>
      </c>
      <c r="D1159" s="29">
        <v>63936000</v>
      </c>
      <c r="E1159" s="29">
        <f>B1159-F1159</f>
        <v>664000</v>
      </c>
      <c r="F1159" s="29">
        <v>63936000</v>
      </c>
      <c r="G1159" s="30">
        <v>100</v>
      </c>
      <c r="H1159" s="22"/>
      <c r="I1159" s="16"/>
    </row>
    <row r="1160" spans="1:14" x14ac:dyDescent="0.25">
      <c r="A1160" s="23" t="s">
        <v>1095</v>
      </c>
      <c r="B1160" s="24">
        <f>SUM(B1161:B1178)</f>
        <v>1669586750</v>
      </c>
      <c r="C1160" s="25"/>
      <c r="D1160" s="26"/>
      <c r="E1160" s="24">
        <f>SUM(E1161:E1178)</f>
        <v>101137925</v>
      </c>
      <c r="F1160" s="24">
        <f>SUM(F1161:F1178)</f>
        <v>1568448825</v>
      </c>
      <c r="G1160" s="27">
        <f>AVERAGE(G1161:G1176,G1178)</f>
        <v>98.634955057610071</v>
      </c>
      <c r="H1160" s="16"/>
      <c r="I1160" s="16"/>
    </row>
    <row r="1161" spans="1:14" ht="24" x14ac:dyDescent="0.25">
      <c r="A1161" s="28" t="s">
        <v>1096</v>
      </c>
      <c r="B1161" s="29">
        <v>83077500</v>
      </c>
      <c r="C1161" s="28" t="s">
        <v>111</v>
      </c>
      <c r="D1161" s="29">
        <v>76035000</v>
      </c>
      <c r="E1161" s="29">
        <f>B1161-F1161</f>
        <v>7042500</v>
      </c>
      <c r="F1161" s="29">
        <v>76035000</v>
      </c>
      <c r="G1161" s="30">
        <v>100</v>
      </c>
      <c r="H1161" s="22"/>
      <c r="I1161" s="16"/>
    </row>
    <row r="1162" spans="1:14" ht="24" x14ac:dyDescent="0.25">
      <c r="A1162" s="28" t="s">
        <v>1097</v>
      </c>
      <c r="B1162" s="29">
        <v>83077500</v>
      </c>
      <c r="C1162" s="28" t="s">
        <v>111</v>
      </c>
      <c r="D1162" s="29">
        <v>81252000</v>
      </c>
      <c r="E1162" s="29">
        <f>B1162-F1162</f>
        <v>1825500</v>
      </c>
      <c r="F1162" s="29">
        <v>81252000</v>
      </c>
      <c r="G1162" s="30">
        <v>100</v>
      </c>
      <c r="H1162" s="22"/>
      <c r="I1162" s="16"/>
    </row>
    <row r="1163" spans="1:14" ht="24" x14ac:dyDescent="0.25">
      <c r="A1163" s="28" t="s">
        <v>1098</v>
      </c>
      <c r="B1163" s="29">
        <v>90365000</v>
      </c>
      <c r="C1163" s="28" t="s">
        <v>111</v>
      </c>
      <c r="D1163" s="29">
        <v>88911000</v>
      </c>
      <c r="E1163" s="29">
        <f>B1163-F1163</f>
        <v>1454000</v>
      </c>
      <c r="F1163" s="29">
        <v>88911000</v>
      </c>
      <c r="G1163" s="30">
        <v>100</v>
      </c>
      <c r="H1163" s="22"/>
      <c r="I1163" s="16"/>
    </row>
    <row r="1164" spans="1:14" ht="24" x14ac:dyDescent="0.25">
      <c r="A1164" s="28" t="s">
        <v>1099</v>
      </c>
      <c r="B1164" s="29">
        <v>90365000</v>
      </c>
      <c r="C1164" s="28" t="s">
        <v>111</v>
      </c>
      <c r="D1164" s="29">
        <v>88855500</v>
      </c>
      <c r="E1164" s="29">
        <f>B1164-F1164</f>
        <v>1509500</v>
      </c>
      <c r="F1164" s="29">
        <v>88855500</v>
      </c>
      <c r="G1164" s="30">
        <v>100</v>
      </c>
      <c r="H1164" s="22"/>
      <c r="I1164" s="16"/>
    </row>
    <row r="1165" spans="1:14" ht="24" x14ac:dyDescent="0.25">
      <c r="A1165" s="28" t="s">
        <v>1100</v>
      </c>
      <c r="B1165" s="29">
        <v>90365000</v>
      </c>
      <c r="C1165" s="28" t="s">
        <v>111</v>
      </c>
      <c r="D1165" s="29">
        <v>88855500</v>
      </c>
      <c r="E1165" s="29">
        <f>B1165-F1165</f>
        <v>1509500</v>
      </c>
      <c r="F1165" s="29">
        <v>88855500</v>
      </c>
      <c r="G1165" s="30">
        <v>100</v>
      </c>
      <c r="H1165" s="22"/>
      <c r="I1165" s="16"/>
    </row>
    <row r="1166" spans="1:14" ht="24" x14ac:dyDescent="0.25">
      <c r="A1166" s="28" t="s">
        <v>1101</v>
      </c>
      <c r="B1166" s="29">
        <v>90365000</v>
      </c>
      <c r="C1166" s="28" t="s">
        <v>111</v>
      </c>
      <c r="D1166" s="29">
        <v>88855500</v>
      </c>
      <c r="E1166" s="29">
        <f>B1166-F1166</f>
        <v>1509500</v>
      </c>
      <c r="F1166" s="29">
        <v>88855500</v>
      </c>
      <c r="G1166" s="30">
        <v>100</v>
      </c>
      <c r="H1166" s="22"/>
      <c r="I1166" s="16"/>
    </row>
    <row r="1167" spans="1:14" ht="24" x14ac:dyDescent="0.25">
      <c r="A1167" s="28" t="s">
        <v>1102</v>
      </c>
      <c r="B1167" s="29">
        <v>90365000</v>
      </c>
      <c r="C1167" s="28" t="s">
        <v>111</v>
      </c>
      <c r="D1167" s="29">
        <v>82017900</v>
      </c>
      <c r="E1167" s="29">
        <f>B1167-F1167</f>
        <v>8347100</v>
      </c>
      <c r="F1167" s="29">
        <v>82017900</v>
      </c>
      <c r="G1167" s="30">
        <v>100</v>
      </c>
      <c r="H1167" s="22"/>
      <c r="I1167" s="16"/>
    </row>
    <row r="1168" spans="1:14" ht="24" x14ac:dyDescent="0.25">
      <c r="A1168" s="28" t="s">
        <v>1103</v>
      </c>
      <c r="B1168" s="29">
        <f t="shared" ref="B1168:B1174" si="6">83077500-3077500</f>
        <v>80000000</v>
      </c>
      <c r="C1168" s="28" t="s">
        <v>111</v>
      </c>
      <c r="D1168" s="29">
        <v>79309500</v>
      </c>
      <c r="E1168" s="29">
        <f>B1168-F1168</f>
        <v>690500</v>
      </c>
      <c r="F1168" s="29">
        <v>79309500</v>
      </c>
      <c r="G1168" s="30">
        <v>100</v>
      </c>
      <c r="H1168" s="22"/>
      <c r="I1168" s="16"/>
    </row>
    <row r="1169" spans="1:9" ht="24" x14ac:dyDescent="0.25">
      <c r="A1169" s="28" t="s">
        <v>1104</v>
      </c>
      <c r="B1169" s="29">
        <f t="shared" si="6"/>
        <v>80000000</v>
      </c>
      <c r="C1169" s="28" t="s">
        <v>111</v>
      </c>
      <c r="D1169" s="29">
        <v>79309500</v>
      </c>
      <c r="E1169" s="29">
        <f>B1169-F1169</f>
        <v>690500</v>
      </c>
      <c r="F1169" s="29">
        <v>79309500</v>
      </c>
      <c r="G1169" s="30">
        <v>100</v>
      </c>
      <c r="H1169" s="22"/>
      <c r="I1169" s="16"/>
    </row>
    <row r="1170" spans="1:9" ht="24" x14ac:dyDescent="0.25">
      <c r="A1170" s="28" t="s">
        <v>1105</v>
      </c>
      <c r="B1170" s="29">
        <f t="shared" si="6"/>
        <v>80000000</v>
      </c>
      <c r="C1170" s="28" t="s">
        <v>111</v>
      </c>
      <c r="D1170" s="29">
        <v>79309500</v>
      </c>
      <c r="E1170" s="29">
        <f>B1170-F1170</f>
        <v>690500</v>
      </c>
      <c r="F1170" s="29">
        <v>79309500</v>
      </c>
      <c r="G1170" s="30">
        <v>100</v>
      </c>
      <c r="H1170" s="22"/>
      <c r="I1170" s="16"/>
    </row>
    <row r="1171" spans="1:9" ht="24" x14ac:dyDescent="0.25">
      <c r="A1171" s="28" t="s">
        <v>1106</v>
      </c>
      <c r="B1171" s="29">
        <f t="shared" si="6"/>
        <v>80000000</v>
      </c>
      <c r="C1171" s="28" t="s">
        <v>111</v>
      </c>
      <c r="D1171" s="29">
        <v>79309500</v>
      </c>
      <c r="E1171" s="29">
        <f>B1171-F1171</f>
        <v>690500</v>
      </c>
      <c r="F1171" s="29">
        <v>79309500</v>
      </c>
      <c r="G1171" s="30">
        <v>100</v>
      </c>
      <c r="H1171" s="22"/>
      <c r="I1171" s="16"/>
    </row>
    <row r="1172" spans="1:9" ht="24" x14ac:dyDescent="0.25">
      <c r="A1172" s="28" t="s">
        <v>1107</v>
      </c>
      <c r="B1172" s="29">
        <f t="shared" si="6"/>
        <v>80000000</v>
      </c>
      <c r="C1172" s="28" t="s">
        <v>111</v>
      </c>
      <c r="D1172" s="29">
        <v>79309500</v>
      </c>
      <c r="E1172" s="29">
        <f>B1172-F1172</f>
        <v>690500</v>
      </c>
      <c r="F1172" s="29">
        <v>79309500</v>
      </c>
      <c r="G1172" s="30">
        <v>100</v>
      </c>
      <c r="H1172" s="22"/>
      <c r="I1172" s="16"/>
    </row>
    <row r="1173" spans="1:9" ht="24" x14ac:dyDescent="0.25">
      <c r="A1173" s="28" t="s">
        <v>1108</v>
      </c>
      <c r="B1173" s="29">
        <f t="shared" si="6"/>
        <v>80000000</v>
      </c>
      <c r="C1173" s="28" t="s">
        <v>111</v>
      </c>
      <c r="D1173" s="29">
        <v>79309500</v>
      </c>
      <c r="E1173" s="29">
        <f>B1173-F1173</f>
        <v>690500</v>
      </c>
      <c r="F1173" s="29">
        <v>79309500</v>
      </c>
      <c r="G1173" s="30">
        <v>100</v>
      </c>
      <c r="H1173" s="22"/>
      <c r="I1173" s="16"/>
    </row>
    <row r="1174" spans="1:9" ht="24" x14ac:dyDescent="0.25">
      <c r="A1174" s="28" t="s">
        <v>1109</v>
      </c>
      <c r="B1174" s="29">
        <f t="shared" si="6"/>
        <v>80000000</v>
      </c>
      <c r="C1174" s="28" t="s">
        <v>111</v>
      </c>
      <c r="D1174" s="29">
        <v>79309500</v>
      </c>
      <c r="E1174" s="29">
        <f>B1174-F1174</f>
        <v>690500</v>
      </c>
      <c r="F1174" s="29">
        <v>79309500</v>
      </c>
      <c r="G1174" s="30">
        <v>100</v>
      </c>
      <c r="H1174" s="22"/>
      <c r="I1174" s="16"/>
    </row>
    <row r="1175" spans="1:9" ht="24" x14ac:dyDescent="0.25">
      <c r="A1175" s="28" t="s">
        <v>1110</v>
      </c>
      <c r="B1175" s="29">
        <v>90365000</v>
      </c>
      <c r="C1175" s="28" t="s">
        <v>111</v>
      </c>
      <c r="D1175" s="29">
        <v>90187500</v>
      </c>
      <c r="E1175" s="29">
        <f>B1175-F1175</f>
        <v>177500</v>
      </c>
      <c r="F1175" s="29">
        <v>90187500</v>
      </c>
      <c r="G1175" s="30">
        <v>100</v>
      </c>
      <c r="H1175" s="22"/>
      <c r="I1175" s="16"/>
    </row>
    <row r="1176" spans="1:9" ht="24" x14ac:dyDescent="0.25">
      <c r="A1176" s="28" t="s">
        <v>1111</v>
      </c>
      <c r="B1176" s="29">
        <v>90365000</v>
      </c>
      <c r="C1176" s="28" t="s">
        <v>111</v>
      </c>
      <c r="D1176" s="29">
        <v>89577000</v>
      </c>
      <c r="E1176" s="29">
        <f>B1176-F1176</f>
        <v>788000</v>
      </c>
      <c r="F1176" s="29">
        <v>89577000</v>
      </c>
      <c r="G1176" s="30">
        <v>100</v>
      </c>
      <c r="H1176" s="22"/>
      <c r="I1176" s="16"/>
    </row>
    <row r="1177" spans="1:9" x14ac:dyDescent="0.25">
      <c r="A1177" s="28" t="s">
        <v>1112</v>
      </c>
      <c r="B1177" s="29">
        <f>22940000-22940000</f>
        <v>0</v>
      </c>
      <c r="C1177" s="28" t="s">
        <v>56</v>
      </c>
      <c r="D1177" s="29">
        <v>0</v>
      </c>
      <c r="E1177" s="29">
        <f>B1177-F1177</f>
        <v>0</v>
      </c>
      <c r="F1177" s="29">
        <v>0</v>
      </c>
      <c r="G1177" s="30">
        <v>0</v>
      </c>
      <c r="H1177" s="22"/>
      <c r="I1177" s="16"/>
    </row>
    <row r="1178" spans="1:9" x14ac:dyDescent="0.25">
      <c r="A1178" s="28" t="s">
        <v>142</v>
      </c>
      <c r="B1178" s="29">
        <f>35866750+64540000+25000000+5160000+128470000+51840000</f>
        <v>310876750</v>
      </c>
      <c r="C1178" s="28" t="s">
        <v>15</v>
      </c>
      <c r="D1178" s="29">
        <f>F1178</f>
        <v>238735425</v>
      </c>
      <c r="E1178" s="29">
        <f>B1178-F1178</f>
        <v>72141325</v>
      </c>
      <c r="F1178" s="29">
        <f>3529800+680000+9077500+21250000+8300000+21690000+12942000+13150000+22105440+72227828+53782857</f>
        <v>238735425</v>
      </c>
      <c r="G1178" s="30">
        <f>F1178/B1178*100</f>
        <v>76.794235979371251</v>
      </c>
      <c r="H1178" s="22"/>
      <c r="I1178" s="16"/>
    </row>
    <row r="1179" spans="1:9" ht="24" x14ac:dyDescent="0.25">
      <c r="A1179" s="17" t="s">
        <v>1113</v>
      </c>
      <c r="B1179" s="18">
        <f>SUM(B1180,B1183,B1185,B1189)</f>
        <v>268364500</v>
      </c>
      <c r="C1179" s="19"/>
      <c r="D1179" s="20"/>
      <c r="E1179" s="18">
        <f>SUM(E1180,E1183,E1185,E1189)</f>
        <v>22210898</v>
      </c>
      <c r="F1179" s="18">
        <f>SUM(F1180,F1183,F1185,F1189)</f>
        <v>246153602</v>
      </c>
      <c r="G1179" s="21">
        <f>AVERAGE(G1180,G1183,G1185,G1189)</f>
        <v>96.09436282780041</v>
      </c>
      <c r="H1179" s="22"/>
      <c r="I1179" s="16"/>
    </row>
    <row r="1180" spans="1:9" x14ac:dyDescent="0.25">
      <c r="A1180" s="23" t="s">
        <v>1114</v>
      </c>
      <c r="B1180" s="24">
        <f>SUM(B1181:B1182)</f>
        <v>115581000</v>
      </c>
      <c r="C1180" s="25"/>
      <c r="D1180" s="26"/>
      <c r="E1180" s="24">
        <f>SUM(E1181:E1182)</f>
        <v>18056698</v>
      </c>
      <c r="F1180" s="24">
        <f>SUM(F1181:F1182)</f>
        <v>97524302</v>
      </c>
      <c r="G1180" s="27">
        <f>F1180/B1180*100</f>
        <v>84.377451311201668</v>
      </c>
      <c r="H1180" s="16"/>
      <c r="I1180" s="16"/>
    </row>
    <row r="1181" spans="1:9" x14ac:dyDescent="0.25">
      <c r="A1181" s="28" t="s">
        <v>1115</v>
      </c>
      <c r="B1181" s="29">
        <f>33278000-33278000</f>
        <v>0</v>
      </c>
      <c r="C1181" s="28" t="s">
        <v>56</v>
      </c>
      <c r="D1181" s="29">
        <v>0</v>
      </c>
      <c r="E1181" s="29">
        <f>B1181-F1181</f>
        <v>0</v>
      </c>
      <c r="F1181" s="29">
        <v>0</v>
      </c>
      <c r="G1181" s="30">
        <v>0</v>
      </c>
      <c r="H1181" s="22"/>
      <c r="I1181" s="16"/>
    </row>
    <row r="1182" spans="1:9" x14ac:dyDescent="0.25">
      <c r="A1182" s="28" t="s">
        <v>94</v>
      </c>
      <c r="B1182" s="29">
        <f>127722000-12141000</f>
        <v>115581000</v>
      </c>
      <c r="C1182" s="28" t="s">
        <v>15</v>
      </c>
      <c r="D1182" s="29">
        <f>F1182</f>
        <v>97524302</v>
      </c>
      <c r="E1182" s="29">
        <f>B1182-F1182</f>
        <v>18056698</v>
      </c>
      <c r="F1182" s="29">
        <v>97524302</v>
      </c>
      <c r="G1182" s="30">
        <f>F1182/B1182*100</f>
        <v>84.377451311201668</v>
      </c>
      <c r="H1182" s="22"/>
      <c r="I1182" s="16"/>
    </row>
    <row r="1183" spans="1:9" ht="24" x14ac:dyDescent="0.25">
      <c r="A1183" s="23" t="s">
        <v>1116</v>
      </c>
      <c r="B1183" s="24">
        <f>SUM(B1184)</f>
        <v>12940000</v>
      </c>
      <c r="C1183" s="25"/>
      <c r="D1183" s="26"/>
      <c r="E1183" s="24">
        <f>SUM(E1184)</f>
        <v>1010900</v>
      </c>
      <c r="F1183" s="24">
        <f>SUM(F1184)</f>
        <v>11929100</v>
      </c>
      <c r="G1183" s="27">
        <f>G1184</f>
        <v>100</v>
      </c>
      <c r="H1183" s="22"/>
      <c r="I1183" s="16"/>
    </row>
    <row r="1184" spans="1:9" x14ac:dyDescent="0.25">
      <c r="A1184" s="28" t="s">
        <v>14</v>
      </c>
      <c r="B1184" s="29">
        <v>12940000</v>
      </c>
      <c r="C1184" s="28" t="s">
        <v>15</v>
      </c>
      <c r="D1184" s="29">
        <f>F1184</f>
        <v>11929100</v>
      </c>
      <c r="E1184" s="29">
        <f>B1184-F1184</f>
        <v>1010900</v>
      </c>
      <c r="F1184" s="29">
        <v>11929100</v>
      </c>
      <c r="G1184" s="30">
        <v>100</v>
      </c>
      <c r="H1184" s="22"/>
      <c r="I1184" s="16"/>
    </row>
    <row r="1185" spans="1:9" x14ac:dyDescent="0.25">
      <c r="A1185" s="23" t="s">
        <v>1117</v>
      </c>
      <c r="B1185" s="24">
        <f>SUM(B1186:B1188)</f>
        <v>98833750</v>
      </c>
      <c r="C1185" s="25"/>
      <c r="D1185" s="26"/>
      <c r="E1185" s="24">
        <f>SUM(E1186:E1188)</f>
        <v>2934950</v>
      </c>
      <c r="F1185" s="24">
        <f>SUM(F1186:F1188)</f>
        <v>95898800</v>
      </c>
      <c r="G1185" s="27">
        <f>AVERAGE(G1186,G1188)</f>
        <v>100</v>
      </c>
      <c r="H1185" s="16"/>
      <c r="I1185" s="16"/>
    </row>
    <row r="1186" spans="1:9" ht="24" x14ac:dyDescent="0.25">
      <c r="A1186" s="28" t="s">
        <v>1118</v>
      </c>
      <c r="B1186" s="29">
        <v>45600000</v>
      </c>
      <c r="C1186" s="28" t="s">
        <v>111</v>
      </c>
      <c r="D1186" s="29">
        <v>45510000</v>
      </c>
      <c r="E1186" s="29">
        <f>B1186-F1186</f>
        <v>90000</v>
      </c>
      <c r="F1186" s="29">
        <v>45510000</v>
      </c>
      <c r="G1186" s="30">
        <v>100</v>
      </c>
      <c r="H1186" s="22"/>
      <c r="I1186" s="16"/>
    </row>
    <row r="1187" spans="1:9" x14ac:dyDescent="0.25">
      <c r="A1187" s="28" t="s">
        <v>94</v>
      </c>
      <c r="B1187" s="29">
        <f>3013750+3645000+1575000</f>
        <v>8233750</v>
      </c>
      <c r="C1187" s="28" t="s">
        <v>15</v>
      </c>
      <c r="D1187" s="29">
        <f>F1187</f>
        <v>5733500</v>
      </c>
      <c r="E1187" s="29">
        <f>B1187-F1187</f>
        <v>2500250</v>
      </c>
      <c r="F1187" s="29">
        <f>450000+960000+2735000+313500+1275000</f>
        <v>5733500</v>
      </c>
      <c r="G1187" s="30">
        <f>F1187/B1187*100</f>
        <v>69.634127827539089</v>
      </c>
      <c r="H1187" s="22"/>
      <c r="I1187" s="16"/>
    </row>
    <row r="1188" spans="1:9" ht="24" x14ac:dyDescent="0.25">
      <c r="A1188" s="28" t="s">
        <v>1119</v>
      </c>
      <c r="B1188" s="29">
        <v>45000000</v>
      </c>
      <c r="C1188" s="28" t="s">
        <v>111</v>
      </c>
      <c r="D1188" s="29">
        <v>44655300</v>
      </c>
      <c r="E1188" s="29">
        <f>B1188-F1188</f>
        <v>344700</v>
      </c>
      <c r="F1188" s="29">
        <v>44655300</v>
      </c>
      <c r="G1188" s="30">
        <v>100</v>
      </c>
      <c r="H1188" s="22"/>
      <c r="I1188" s="16"/>
    </row>
    <row r="1189" spans="1:9" x14ac:dyDescent="0.25">
      <c r="A1189" s="23" t="s">
        <v>1120</v>
      </c>
      <c r="B1189" s="24">
        <f>SUM(B1190:B1191)</f>
        <v>41009750</v>
      </c>
      <c r="C1189" s="25"/>
      <c r="D1189" s="26"/>
      <c r="E1189" s="24">
        <f>SUM(E1190:E1191)</f>
        <v>208350</v>
      </c>
      <c r="F1189" s="24">
        <f>SUM(F1190:F1191)</f>
        <v>40801400</v>
      </c>
      <c r="G1189" s="27">
        <f>AVERAGE(G1190)</f>
        <v>100</v>
      </c>
      <c r="H1189" s="16"/>
      <c r="I1189" s="16"/>
    </row>
    <row r="1190" spans="1:9" ht="24" x14ac:dyDescent="0.25">
      <c r="A1190" s="28" t="s">
        <v>1121</v>
      </c>
      <c r="B1190" s="29">
        <v>37686000</v>
      </c>
      <c r="C1190" s="28" t="s">
        <v>111</v>
      </c>
      <c r="D1190" s="29">
        <v>37518000</v>
      </c>
      <c r="E1190" s="29">
        <f>B1190-F1190</f>
        <v>168000</v>
      </c>
      <c r="F1190" s="29">
        <v>37518000</v>
      </c>
      <c r="G1190" s="30">
        <v>100</v>
      </c>
      <c r="H1190" s="22"/>
      <c r="I1190" s="16"/>
    </row>
    <row r="1191" spans="1:9" x14ac:dyDescent="0.25">
      <c r="A1191" s="28" t="s">
        <v>94</v>
      </c>
      <c r="B1191" s="29">
        <f>4892500-1568750</f>
        <v>3323750</v>
      </c>
      <c r="C1191" s="28" t="s">
        <v>15</v>
      </c>
      <c r="D1191" s="29">
        <f>F1191</f>
        <v>3283400</v>
      </c>
      <c r="E1191" s="29">
        <f>B1191-F1191</f>
        <v>40350</v>
      </c>
      <c r="F1191" s="29">
        <f>1175000+1755000+353400</f>
        <v>3283400</v>
      </c>
      <c r="G1191" s="30">
        <f>F1191/B1191*100</f>
        <v>98.786009778112074</v>
      </c>
      <c r="H1191" s="22"/>
      <c r="I1191" s="16"/>
    </row>
    <row r="1192" spans="1:9" ht="24" x14ac:dyDescent="0.25">
      <c r="A1192" s="17" t="s">
        <v>1122</v>
      </c>
      <c r="B1192" s="18">
        <f>SUM(B1193,B1195)</f>
        <v>44440000</v>
      </c>
      <c r="C1192" s="19"/>
      <c r="D1192" s="20"/>
      <c r="E1192" s="18">
        <f>SUM(E1193,E1195)</f>
        <v>11178320</v>
      </c>
      <c r="F1192" s="18">
        <f>SUM(F1193,F1195)</f>
        <v>33261680</v>
      </c>
      <c r="G1192" s="21">
        <f>AVERAGE(G1193,G1195)</f>
        <v>75.111267358857887</v>
      </c>
      <c r="H1192" s="22"/>
      <c r="I1192" s="16"/>
    </row>
    <row r="1193" spans="1:9" x14ac:dyDescent="0.25">
      <c r="A1193" s="23" t="s">
        <v>1123</v>
      </c>
      <c r="B1193" s="24">
        <f>B1194</f>
        <v>21440000</v>
      </c>
      <c r="C1193" s="25"/>
      <c r="D1193" s="26"/>
      <c r="E1193" s="24">
        <f>E1194</f>
        <v>3717600</v>
      </c>
      <c r="F1193" s="24">
        <f>F1194</f>
        <v>17722400</v>
      </c>
      <c r="G1193" s="27">
        <f>F1193/B1193*100</f>
        <v>82.660447761194035</v>
      </c>
      <c r="H1193" s="22"/>
      <c r="I1193" s="16"/>
    </row>
    <row r="1194" spans="1:9" x14ac:dyDescent="0.25">
      <c r="A1194" s="28" t="s">
        <v>14</v>
      </c>
      <c r="B1194" s="29">
        <v>21440000</v>
      </c>
      <c r="C1194" s="28" t="s">
        <v>15</v>
      </c>
      <c r="D1194" s="29">
        <f>F1194</f>
        <v>17722400</v>
      </c>
      <c r="E1194" s="29">
        <f>B1194-F1194</f>
        <v>3717600</v>
      </c>
      <c r="F1194" s="29">
        <v>17722400</v>
      </c>
      <c r="G1194" s="30">
        <f>F1194/B1194*100</f>
        <v>82.660447761194035</v>
      </c>
      <c r="H1194" s="22"/>
      <c r="I1194" s="16"/>
    </row>
    <row r="1195" spans="1:9" ht="24" x14ac:dyDescent="0.25">
      <c r="A1195" s="23" t="s">
        <v>1124</v>
      </c>
      <c r="B1195" s="24">
        <f>B1196</f>
        <v>23000000</v>
      </c>
      <c r="C1195" s="25"/>
      <c r="D1195" s="26"/>
      <c r="E1195" s="24">
        <f>E1196</f>
        <v>7460720</v>
      </c>
      <c r="F1195" s="24">
        <f>F1196</f>
        <v>15539280</v>
      </c>
      <c r="G1195" s="27">
        <f>F1195/B1195*100</f>
        <v>67.562086956521739</v>
      </c>
      <c r="H1195" s="22"/>
      <c r="I1195" s="16"/>
    </row>
    <row r="1196" spans="1:9" x14ac:dyDescent="0.25">
      <c r="A1196" s="28" t="s">
        <v>14</v>
      </c>
      <c r="B1196" s="29">
        <v>23000000</v>
      </c>
      <c r="C1196" s="28" t="s">
        <v>15</v>
      </c>
      <c r="D1196" s="29">
        <f>F1196</f>
        <v>15539280</v>
      </c>
      <c r="E1196" s="29">
        <f>B1196-F1196</f>
        <v>7460720</v>
      </c>
      <c r="F1196" s="29">
        <v>15539280</v>
      </c>
      <c r="G1196" s="30">
        <f>F1196/B1196*100</f>
        <v>67.562086956521739</v>
      </c>
      <c r="H1196" s="22"/>
      <c r="I1196" s="16"/>
    </row>
    <row r="1199" spans="1:9" x14ac:dyDescent="0.25">
      <c r="B1199" s="3"/>
    </row>
    <row r="1201" spans="5:5" x14ac:dyDescent="0.25">
      <c r="E1201" s="42"/>
    </row>
  </sheetData>
  <mergeCells count="9">
    <mergeCell ref="A2:G2"/>
    <mergeCell ref="A4:G4"/>
    <mergeCell ref="A3:G3"/>
    <mergeCell ref="F6:G6"/>
    <mergeCell ref="A1:G1"/>
    <mergeCell ref="A6:A7"/>
    <mergeCell ref="B6:B7"/>
    <mergeCell ref="C6:C7"/>
    <mergeCell ref="E6:E7"/>
  </mergeCells>
  <pageMargins left="0.31496062992125984" right="0" top="0.39370078740157483" bottom="0.39370078740157483" header="0.51181102362204722" footer="0.51181102362204722"/>
  <pageSetup paperSize="5" scale="4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LAP PENGADAAN DESEMBER 2025</vt:lpstr>
      <vt:lpstr>'LAP PENGADAAN DESEMBER 2025'!Print_Area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AYU</dc:creator>
  <cp:lastModifiedBy>AYU</cp:lastModifiedBy>
  <dcterms:created xsi:type="dcterms:W3CDTF">2026-05-26T02:43:53Z</dcterms:created>
  <dcterms:modified xsi:type="dcterms:W3CDTF">2026-05-26T02:52:47Z</dcterms:modified>
</cp:coreProperties>
</file>